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9720" firstSheet="1" activeTab="3"/>
  </bookViews>
  <sheets>
    <sheet name="IC7JU108T" sheetId="1" r:id="rId1"/>
    <sheet name="ICP108T-A" sheetId="2" r:id="rId2"/>
    <sheet name="ICP108T" sheetId="3" r:id="rId3"/>
    <sheet name="Mua-VN 1356" sheetId="4" r:id="rId4"/>
    <sheet name="DANH MUC NPL" sheetId="5" r:id="rId5"/>
    <sheet name="308A361" sheetId="6" r:id="rId6"/>
    <sheet name="308A380" sheetId="7" r:id="rId7"/>
    <sheet name="IS308A380" sheetId="8" r:id="rId8"/>
    <sheet name="IC7P-108" sheetId="9" r:id="rId9"/>
    <sheet name="MAU" sheetId="10" r:id="rId10"/>
    <sheet name="XL4Poppy" sheetId="11" state="hidden" r:id="rId11"/>
  </sheets>
  <externalReferences>
    <externalReference r:id="rId14"/>
  </externalReferences>
  <definedNames>
    <definedName name="_Fill" localSheetId="3" hidden="1">#REF!</definedName>
    <definedName name="_Fill" localSheetId="10" hidden="1">#REF!</definedName>
    <definedName name="_Fill" hidden="1">#REF!</definedName>
    <definedName name="Bust">'XL4Poppy'!$C$31</definedName>
    <definedName name="Cheá_ñoä">#REF!</definedName>
    <definedName name="Chôø_vieäc">#REF!</definedName>
    <definedName name="Chuû_nhaät">#REF!</definedName>
    <definedName name="Continue">'XL4Poppy'!$C$9</definedName>
    <definedName name="Document_array" localSheetId="10">{"?????","DINH MUC XUAT.xls"}</definedName>
    <definedName name="Documents_array">'XL4Poppy'!$B$1:$B$16</definedName>
    <definedName name="Hello">'XL4Poppy'!$A$15</definedName>
    <definedName name="Hoã_trôï_thueâ_nhaø">#REF!</definedName>
    <definedName name="Hoï_Vaø_Teân">#REF!</definedName>
    <definedName name="Khaáu_tröø_löông">#REF!</definedName>
    <definedName name="Kyù_teân">#REF!</definedName>
    <definedName name="Löông_CB">#REF!</definedName>
    <definedName name="MakeIt">'XL4Poppy'!$A$26</definedName>
    <definedName name="Morning">'XL4Poppy'!$C$39</definedName>
    <definedName name="Ngaøy_coâng">#REF!</definedName>
    <definedName name="Phuï_caáp_tr.nhieäm">#REF!</definedName>
    <definedName name="Poppy">'XL4Poppy'!$C$27</definedName>
    <definedName name="_xlnm.Print_Area" localSheetId="10">'XL4Poppy'!$C$4</definedName>
    <definedName name="_xlnm.Print_Area" localSheetId="10">'XL4Poppy'!$C$4</definedName>
    <definedName name="_xlnm.Print_Titles">$5:$6</definedName>
    <definedName name="Saûn_phaåm">#REF!</definedName>
    <definedName name="sccr">#REF!</definedName>
    <definedName name="scdt">#REF!</definedName>
    <definedName name="STT">#REF!</definedName>
    <definedName name="Taêng_ca__buoåi">#REF!</definedName>
    <definedName name="Thöïc_nhaän">#REF!</definedName>
    <definedName name="Tieàn_löông">#REF!</definedName>
    <definedName name="Toång_löông">#REF!</definedName>
    <definedName name="Trôï_caáp__tieàn_côm">#REF!</definedName>
  </definedNames>
  <calcPr fullCalcOnLoad="1"/>
</workbook>
</file>

<file path=xl/sharedStrings.xml><?xml version="1.0" encoding="utf-8"?>
<sst xmlns="http://schemas.openxmlformats.org/spreadsheetml/2006/main" count="1294" uniqueCount="261">
  <si>
    <t>Maãu : 10/HQ-GC, khoå A4</t>
  </si>
  <si>
    <t>Ngaøy 20/3/2008</t>
  </si>
  <si>
    <t>Thôøi haïn: 20/3/2009</t>
  </si>
  <si>
    <t xml:space="preserve">Phuï kieän hôïp ñoàng soá : </t>
  </si>
  <si>
    <t>Ñòa chæ: Loâ B5-B8, KCN Vieät Höông 2, Beán Caùt, Bình Döông</t>
  </si>
  <si>
    <t>Ñôn vò Haûi quan laøm thuû tuïc : Haûi quan QLHGC-TP HCM</t>
  </si>
  <si>
    <t>Soá löôïng :</t>
  </si>
  <si>
    <t>CAÙI</t>
  </si>
  <si>
    <t>STT</t>
  </si>
  <si>
    <t>TEÂN NGUYEÂN PHUÏ LIEÄU</t>
  </si>
  <si>
    <t>MAÕ
NPL</t>
  </si>
  <si>
    <t>ÑVT</t>
  </si>
  <si>
    <t>ÑÒNH MÖÙC</t>
  </si>
  <si>
    <t>NGUOÀN NGUYEÂN LIEÄU</t>
  </si>
  <si>
    <t>GHI CHUÙ</t>
  </si>
  <si>
    <t>ÑM söû duïng</t>
  </si>
  <si>
    <t>ÑM chung</t>
  </si>
  <si>
    <t xml:space="preserve">V¶i chÝnh  98% Cotton 2% Spandex  </t>
  </si>
  <si>
    <t>001</t>
  </si>
  <si>
    <t>NK-GC</t>
  </si>
  <si>
    <t>V¶i chÝnh 100% Polyester</t>
  </si>
  <si>
    <t>002</t>
  </si>
  <si>
    <t xml:space="preserve">V¶i chÝnh 77% Cotton 22% Polyester 1% Spandex </t>
  </si>
  <si>
    <t>003</t>
  </si>
  <si>
    <t>V¶i chÝnh 97% Cotton 3% Spandex</t>
  </si>
  <si>
    <t>004</t>
  </si>
  <si>
    <t xml:space="preserve">V¶i chÝnh 80% Polyester 20% Cotton </t>
  </si>
  <si>
    <t>005</t>
  </si>
  <si>
    <t xml:space="preserve">V¶i chÝnh 92% Poty 8% Spandex </t>
  </si>
  <si>
    <t>006</t>
  </si>
  <si>
    <t xml:space="preserve">V¶i chÝnh 50% Poly 50% Nylon </t>
  </si>
  <si>
    <t>007</t>
  </si>
  <si>
    <t>V¶i lãt  65% Polyester 35% Cotton</t>
  </si>
  <si>
    <t>008</t>
  </si>
  <si>
    <t>V¶i lãt  100% Polyester</t>
  </si>
  <si>
    <t>009</t>
  </si>
  <si>
    <t>V¶i lãt  100% Cotton</t>
  </si>
  <si>
    <t>010</t>
  </si>
  <si>
    <t>Keo lãt  (DùNG)    K  58"</t>
  </si>
  <si>
    <t>011</t>
  </si>
  <si>
    <t xml:space="preserve">D©y dÖt </t>
  </si>
  <si>
    <t>012</t>
  </si>
  <si>
    <t xml:space="preserve">D©y trang trÝ </t>
  </si>
  <si>
    <t>013</t>
  </si>
  <si>
    <t>B¨ng dÝnh c¸c loäi</t>
  </si>
  <si>
    <t>014</t>
  </si>
  <si>
    <t xml:space="preserve">Bo Cæ  c¾t s¼n c¸c lo¹i </t>
  </si>
  <si>
    <t>015</t>
  </si>
  <si>
    <t xml:space="preserve">ChØ may </t>
  </si>
  <si>
    <t>016</t>
  </si>
  <si>
    <t xml:space="preserve">D©y kÐo </t>
  </si>
  <si>
    <t>017</t>
  </si>
  <si>
    <t>MiÕng trang trÝ  (b»ng Kim lo¹i)</t>
  </si>
  <si>
    <t>018</t>
  </si>
  <si>
    <t>C¸i</t>
  </si>
  <si>
    <t>MiÕng trang trÝ  (b»ng Nhùa)</t>
  </si>
  <si>
    <t>019</t>
  </si>
  <si>
    <t>MiÕng chÆn ®Çu d©y kÐo</t>
  </si>
  <si>
    <t>020</t>
  </si>
  <si>
    <t>D©y luån c¾t s¼n 1M</t>
  </si>
  <si>
    <t>021</t>
  </si>
  <si>
    <t>D©y luån  c¸c lo¹i</t>
  </si>
  <si>
    <t>022</t>
  </si>
  <si>
    <t>D©y g©n</t>
  </si>
  <si>
    <t>023</t>
  </si>
  <si>
    <t>Nót c¸c lo¹i</t>
  </si>
  <si>
    <t>024</t>
  </si>
  <si>
    <t>Nót ®ãng ( 1 bé=2 C¸i)</t>
  </si>
  <si>
    <t>025</t>
  </si>
  <si>
    <t>M¾t C¸o ( 1 bé = 2 C¸i)</t>
  </si>
  <si>
    <t>026</t>
  </si>
  <si>
    <t xml:space="preserve">Nót chÆn </t>
  </si>
  <si>
    <t>027</t>
  </si>
  <si>
    <t>Nh·n chÝnh (b»ng v¶i)</t>
  </si>
  <si>
    <t>028</t>
  </si>
  <si>
    <t>Nh·n v¶I c¸c lo¹i</t>
  </si>
  <si>
    <t>029</t>
  </si>
  <si>
    <t>Nh·n phô c¸c lo¹i( b»ng giÊy)</t>
  </si>
  <si>
    <t>030</t>
  </si>
  <si>
    <t>Kho¸ cµi</t>
  </si>
  <si>
    <t>031</t>
  </si>
  <si>
    <t>Khoen c¸c lo¹i</t>
  </si>
  <si>
    <t>032</t>
  </si>
  <si>
    <t xml:space="preserve">B¨ng keo c¸c lo¹i </t>
  </si>
  <si>
    <t>033</t>
  </si>
  <si>
    <t xml:space="preserve">GiÊy lãt </t>
  </si>
  <si>
    <t>034</t>
  </si>
  <si>
    <t>Bao Nylon</t>
  </si>
  <si>
    <t>035</t>
  </si>
  <si>
    <t xml:space="preserve">D©y treo nh·n </t>
  </si>
  <si>
    <t>036</t>
  </si>
  <si>
    <t>Khuy gµi c¸c lo¹i</t>
  </si>
  <si>
    <t>037</t>
  </si>
  <si>
    <t xml:space="preserve">Mãc gµi  b»ng nhùa </t>
  </si>
  <si>
    <t>038</t>
  </si>
  <si>
    <t xml:space="preserve">Mãc treo </t>
  </si>
  <si>
    <t>039</t>
  </si>
  <si>
    <t>Tói chèng Èm</t>
  </si>
  <si>
    <t>040</t>
  </si>
  <si>
    <t xml:space="preserve">Thïng Carton </t>
  </si>
  <si>
    <t>041</t>
  </si>
  <si>
    <t xml:space="preserve">D©y th¾t l­ng </t>
  </si>
  <si>
    <t>042</t>
  </si>
  <si>
    <t>§inh t¸n</t>
  </si>
  <si>
    <t>043</t>
  </si>
  <si>
    <t>GØa da PU</t>
  </si>
  <si>
    <t>044</t>
  </si>
  <si>
    <t>D©y thun</t>
  </si>
  <si>
    <t>045</t>
  </si>
  <si>
    <t>Nh·n da</t>
  </si>
  <si>
    <t>046</t>
  </si>
  <si>
    <t>Giôùi thieäu caùc thoâng soá cuûa saûn phaãm lieân quan ñeán vieäc xaùc ñònh ñònh möùc treân:</t>
  </si>
  <si>
    <t>Doanh nghieäp chòu traùch nhieäm veà tính chính xaùc cuûa ñònh möùc treân tröôùc phaùp luaät.</t>
  </si>
  <si>
    <t>Ngaøy       thaùng     naêm 2008</t>
  </si>
  <si>
    <t xml:space="preserve">Coâng chöùc Haûi quan tieáp nhaän ñònh möùc </t>
  </si>
  <si>
    <t>GIAÙM ÑOÁC DOANH NGHIEÄP</t>
  </si>
  <si>
    <t>(Kyù, ghi roõ hoï teân; ñoùng daáu tieáp nhaän)</t>
  </si>
  <si>
    <t>(Kyù teân, ñoùng daáu)</t>
  </si>
  <si>
    <t>Hôïp ñoàng gia coâng soá : 01-07/MT-TK</t>
  </si>
  <si>
    <t>Ngaøy 28/2/2007</t>
  </si>
  <si>
    <t>Thôøi haïn: 28/2/2008</t>
  </si>
  <si>
    <t>Beân nhaän gia coâng :    Cty TNHH Haøn Vieät</t>
  </si>
  <si>
    <t>Ñòa chæ : 9 Quang Trung, P10, Goø Vaáp, TP.HCM, Vieät Nam</t>
  </si>
  <si>
    <t>Maõ haøng:</t>
  </si>
  <si>
    <t>TYÛ LEÄ
Hao huït
%</t>
  </si>
  <si>
    <t>ÑM tieâu hao</t>
  </si>
  <si>
    <t>NK</t>
  </si>
  <si>
    <t>Ngaøy      thaùng 03 naêm 2007</t>
  </si>
  <si>
    <t>Ngaøy  12 thaùng 03 naêm 2007</t>
  </si>
  <si>
    <t>BAÛNG KEÂ KHAI NGUYEÂN LIEÄU DO BEÂN NHAÄN GIA COÂNG CUNG ÖÙNG TÖÔNG ÖÙNG VÔÙI LÖÔÏNG SAÛN PHAÃM TREÂN TÔØ KHAI XUAÁT KHAÅU</t>
  </si>
  <si>
    <t>Hôïp ñoàng gia coâng soá/ Beân thueâ:</t>
  </si>
  <si>
    <t>02-08/VL-PRO</t>
  </si>
  <si>
    <t>Ngaøy :  20/3/2008</t>
  </si>
  <si>
    <t>thôøi haïn: 20/3/2009</t>
  </si>
  <si>
    <t xml:space="preserve">Phuï kieän hôïp ñoàng gia coâng soá: </t>
  </si>
  <si>
    <t>Beân nhaän gia coâng:</t>
  </si>
  <si>
    <t>COÂNG TY TNHH VIỆT LONG</t>
  </si>
  <si>
    <t>Loâ B5-B8, KCN Vieät Höông 2, Beán Caùt , Bình Döông.</t>
  </si>
  <si>
    <t>Maët haøng gia coâng:</t>
  </si>
  <si>
    <t>Tôø khai xuaát khaåu soá:</t>
  </si>
  <si>
    <t>ngaøy:</t>
  </si>
  <si>
    <t>Ñôn vò Haûi quan laøm thuû tuïc:</t>
  </si>
  <si>
    <t>CHI CỤC HẢI QUAN KCN VIỆT HƯƠNG</t>
  </si>
  <si>
    <t>Maõ
NPL</t>
  </si>
  <si>
    <t>Teân nguyeân lieäu</t>
  </si>
  <si>
    <t>Ñôn
Vò
Tính</t>
  </si>
  <si>
    <t>Löôïng nguyeân lieäu cung öùng töông öùng vôùi löôïng saûn phaãm treân tôø khai xuaát khaåu</t>
  </si>
  <si>
    <t>cung öùng</t>
  </si>
  <si>
    <t>Maõ haøng</t>
  </si>
  <si>
    <t>Toång löôïng</t>
  </si>
  <si>
    <t>Soá löôïng</t>
  </si>
  <si>
    <t>Caùi</t>
  </si>
  <si>
    <t xml:space="preserve">cung öùng </t>
  </si>
  <si>
    <t>Ñònh</t>
  </si>
  <si>
    <t xml:space="preserve">Tyû leä </t>
  </si>
  <si>
    <t>Löôïng</t>
  </si>
  <si>
    <t>cho 1 TKXK</t>
  </si>
  <si>
    <t>möùc</t>
  </si>
  <si>
    <t>hao huït</t>
  </si>
  <si>
    <t>saûn phaãm</t>
  </si>
  <si>
    <t>TOÅNG COÄNG:</t>
  </si>
  <si>
    <t>VND</t>
  </si>
  <si>
    <t>Nhöõng maët haøng naøy coù thueá suaát 0% &amp; khoâng chòu thueá khi xuaát khaåu.</t>
  </si>
  <si>
    <t>PCS</t>
  </si>
  <si>
    <r>
      <t>M</t>
    </r>
    <r>
      <rPr>
        <vertAlign val="superscript"/>
        <sz val="10"/>
        <rFont val=".VnTime"/>
        <family val="2"/>
      </rPr>
      <t>2</t>
    </r>
  </si>
  <si>
    <t>MET</t>
  </si>
  <si>
    <t>YARD</t>
  </si>
  <si>
    <t>CAI</t>
  </si>
  <si>
    <t>BO</t>
  </si>
  <si>
    <t>KG</t>
  </si>
  <si>
    <t>M2</t>
  </si>
  <si>
    <t xml:space="preserve"> (Kyù, ghi roõ hoï teân; ñoùng daáu tieáp nhaän)</t>
  </si>
  <si>
    <t>Mua VN</t>
  </si>
  <si>
    <t>COÂNG TY TNHH VIEÄT LONG</t>
  </si>
  <si>
    <r>
      <t xml:space="preserve">Beân thueâ gia coâng :                         </t>
    </r>
    <r>
      <rPr>
        <b/>
        <sz val="12"/>
        <rFont val="VNI-Times"/>
        <family val="0"/>
      </rPr>
      <t>Promotex Int'l Group Inc</t>
    </r>
    <r>
      <rPr>
        <sz val="12"/>
        <rFont val="VNI-Times"/>
        <family val="0"/>
      </rPr>
      <t xml:space="preserve"> - Add:  D, 6/F Central Mark II, 305 – 313 Queens Road,  HongKong</t>
    </r>
  </si>
  <si>
    <t>Hình thöùc
cung öùng</t>
  </si>
  <si>
    <t>Trò giaù 
(VND)</t>
  </si>
  <si>
    <t>Ñôn giaù 
(VND)</t>
  </si>
  <si>
    <t xml:space="preserve">Maõ haøng: </t>
  </si>
  <si>
    <t>IC7P-108T</t>
  </si>
  <si>
    <t>IC7P-108T-a</t>
  </si>
  <si>
    <t>IC7J-108T</t>
  </si>
  <si>
    <t xml:space="preserve">  1       3       5       7       9       11      13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</si>
  <si>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</si>
  <si>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</si>
  <si>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</si>
  <si>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</si>
  <si>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</si>
  <si>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</si>
  <si>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</si>
  <si>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</si>
  <si>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</si>
  <si>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</si>
  <si>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</si>
  <si>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SIZE</t>
  </si>
  <si>
    <t>TOÅNG NHU CAÀU</t>
  </si>
  <si>
    <t>BAÛNG ÑÒNH MÖÙC VAØ TYÛ LEÄ HAO HUÏT CUÛA TÖØNG MAÕ HAØNG</t>
  </si>
  <si>
    <t>QUẦN DAØI  NÖÕ</t>
  </si>
  <si>
    <t>Maët haøng :  Quaàn daøi nöõ</t>
  </si>
  <si>
    <t>ÿÿÿÿÿ</t>
  </si>
  <si>
    <t>3%HH</t>
  </si>
  <si>
    <r>
      <t xml:space="preserve">Beân nhaän gia coâng : </t>
    </r>
    <r>
      <rPr>
        <b/>
        <sz val="10"/>
        <rFont val="VNI-Times"/>
        <family val="0"/>
      </rPr>
      <t>Cty TNHH Vieät Long</t>
    </r>
  </si>
  <si>
    <r>
      <t xml:space="preserve">Beân thueâ gia coâng :  </t>
    </r>
    <r>
      <rPr>
        <b/>
        <sz val="10"/>
        <rFont val="VNI-Times"/>
        <family val="0"/>
      </rPr>
      <t>Promotex Int'l Group Inc</t>
    </r>
    <r>
      <rPr>
        <sz val="10"/>
        <rFont val="VNI-Times"/>
        <family val="0"/>
      </rPr>
      <t xml:space="preserve"> - Add:  D, 6/F Central Mark II, 305 – 313 Queens Road,  </t>
    </r>
  </si>
  <si>
    <t>SL:</t>
  </si>
  <si>
    <t>Chieàu daøi quaàn (Cm):</t>
  </si>
  <si>
    <t>Chieàu roäng quaàn (Cm):</t>
  </si>
  <si>
    <r>
      <t xml:space="preserve">  </t>
    </r>
    <r>
      <rPr>
        <b/>
        <u val="single"/>
        <sz val="10"/>
        <rFont val="VNI-Times"/>
        <family val="0"/>
      </rPr>
      <t>Thoâng soá Kyõ thuaät</t>
    </r>
    <r>
      <rPr>
        <b/>
        <sz val="10"/>
        <rFont val="VNI-Times"/>
        <family val="0"/>
      </rPr>
      <t xml:space="preserve">:      </t>
    </r>
    <r>
      <rPr>
        <i/>
        <sz val="10"/>
        <rFont val="VNI-Times"/>
        <family val="0"/>
      </rPr>
      <t>Size:</t>
    </r>
  </si>
  <si>
    <t>300   600   600   600   600    600    300  =  3.600 Pcs</t>
  </si>
  <si>
    <t xml:space="preserve"> 99   101  103    104   105    107    108</t>
  </si>
  <si>
    <t xml:space="preserve"> 44    45    46      47     48      49      50</t>
  </si>
  <si>
    <t>108 110  112  114  115  116</t>
  </si>
  <si>
    <t xml:space="preserve"> 53   54    55    56    67    58</t>
  </si>
  <si>
    <t xml:space="preserve"> 75   75   150  150   75    75  =  600 Pcs</t>
  </si>
  <si>
    <t xml:space="preserve"> 14   16    18    20    22    24</t>
  </si>
  <si>
    <t>ÑM bq 
söû duïng</t>
  </si>
  <si>
    <t>DINH MUC XUAT.xls</t>
  </si>
  <si>
    <t>Nót c¸c läai</t>
  </si>
  <si>
    <t>NHAÄP</t>
  </si>
  <si>
    <t>KHAÅU</t>
  </si>
  <si>
    <t>MUA</t>
  </si>
  <si>
    <t>TAÏI VN</t>
  </si>
  <si>
    <t>NK+Mua VN</t>
  </si>
  <si>
    <t>USD</t>
  </si>
  <si>
    <r>
      <t xml:space="preserve">Beân nhaän gia coâng : </t>
    </r>
    <r>
      <rPr>
        <b/>
        <sz val="11"/>
        <rFont val="VNI-Times"/>
        <family val="0"/>
      </rPr>
      <t>Cty TNHH Vieät Long</t>
    </r>
  </si>
  <si>
    <r>
      <t xml:space="preserve">Beân thueâ gia coâng :  </t>
    </r>
    <r>
      <rPr>
        <b/>
        <sz val="11"/>
        <rFont val="VNI-Times"/>
        <family val="0"/>
      </rPr>
      <t>Promotex Int'l Group Inc</t>
    </r>
    <r>
      <rPr>
        <sz val="11"/>
        <rFont val="VNI-Times"/>
        <family val="0"/>
      </rPr>
      <t xml:space="preserve"> - Add:  D, 6/F Central Mark II, 305 – 313 Queens Road,  </t>
    </r>
  </si>
  <si>
    <t>Hôïp ñoàng gia coâng soá : 02-08/VL-PRO</t>
  </si>
  <si>
    <t>Ñôn vò Haûi quan laøm thuû tuïc : Haûi quan KCN Việt Hương</t>
  </si>
  <si>
    <t>308A361</t>
  </si>
  <si>
    <t>Chieàu daøi quaàn (Inch):</t>
  </si>
  <si>
    <t>Chieàu roäng quaàn (Inch):</t>
  </si>
  <si>
    <t>37"</t>
  </si>
  <si>
    <t>12.75"</t>
  </si>
  <si>
    <t>13.75"</t>
  </si>
  <si>
    <t>14.75"</t>
  </si>
  <si>
    <t>10"</t>
  </si>
  <si>
    <t>11.5"</t>
  </si>
  <si>
    <t>12"</t>
  </si>
  <si>
    <t>33"</t>
  </si>
  <si>
    <t>34.5"</t>
  </si>
  <si>
    <t>35.5"</t>
  </si>
  <si>
    <t>38.5"</t>
  </si>
  <si>
    <t>40"</t>
  </si>
  <si>
    <t>Nh·n phô c¸c lo¹i</t>
  </si>
  <si>
    <r>
      <t>M</t>
    </r>
    <r>
      <rPr>
        <vertAlign val="superscript"/>
        <sz val="9"/>
        <rFont val=".VnTime"/>
        <family val="2"/>
      </rPr>
      <t>2</t>
    </r>
  </si>
  <si>
    <t>308A380</t>
  </si>
  <si>
    <t>Yard</t>
  </si>
  <si>
    <t>IS308A380</t>
  </si>
  <si>
    <t>IC7P-108</t>
  </si>
  <si>
    <t>Nót c¸c lo¹i'</t>
  </si>
  <si>
    <t>Ngöôøi laäp bieåu</t>
  </si>
  <si>
    <t xml:space="preserve">Tæ leä </t>
  </si>
  <si>
    <t>% NPL mua VN</t>
  </si>
  <si>
    <t>NK + Mua VN</t>
  </si>
  <si>
    <t>GHI CHUÙ
(Mua VN)</t>
  </si>
  <si>
    <t>371/1800</t>
  </si>
  <si>
    <t>365/1800</t>
  </si>
  <si>
    <t>125/1800</t>
  </si>
  <si>
    <t>1579/1800</t>
  </si>
  <si>
    <t>1003/1800</t>
  </si>
  <si>
    <t>130/1800</t>
  </si>
  <si>
    <t>Tỉ lệ mua Việt nam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</si>
</sst>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_-* #,##0_-;\-* #,##0_-;_-* &quot;-&quot;??_-;_-@_-"/>
    <numFmt numFmtId="174" formatCode="_-* #,##0.00_-;\-* #,##0.00_-;_-* &quot;-&quot;??_-;_-@_-"/>
    <numFmt numFmtId="175" formatCode="_(* #,##0_);_(* \(#,##0\);_(* &quot;-&quot;??_);_(@_)"/>
    <numFmt numFmtId="176" formatCode="#,##0.000"/>
    <numFmt numFmtId="177" formatCode="#,##0.0000"/>
    <numFmt numFmtId="178" formatCode="&quot;\&quot;#,##0;[Red]&quot;\&quot;\-#,##0"/>
    <numFmt numFmtId="179" formatCode="&quot;\&quot;#,##0.00;[Red]&quot;\&quot;\-#,##0.00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_(* #,##0.000_);_(* \(#,##0.000\);_(* &quot;-&quot;???_);_(@_)"/>
    <numFmt numFmtId="184" formatCode="_-* #,##0_-;\-* #,##0_-;_-* &quot;-&quot;_-;_-@_-"/>
    <numFmt numFmtId="185" formatCode="0.0000"/>
    <numFmt numFmtId="186" formatCode="00."/>
    <numFmt numFmtId="187" formatCode="_(* #,##0.0_);_(* \(#,##0.0\);_(* &quot;-&quot;??_);_(@_)"/>
    <numFmt numFmtId="188" formatCode="_(* #,##0_);_(* \(#,##0\);_(* &quot;-&quot;???_);_(@_)"/>
    <numFmt numFmtId="189" formatCode="0.00000"/>
    <numFmt numFmtId="190" formatCode="#,##0&quot; ñoàng&quot;"/>
    <numFmt numFmtId="191" formatCode="0.000%"/>
    <numFmt numFmtId="192" formatCode="0.0000%"/>
    <numFmt numFmtId="193" formatCode="0.0%"/>
    <numFmt numFmtId="194" formatCode="#,##0.0"/>
    <numFmt numFmtId="195" formatCode="#,##0.00000"/>
    <numFmt numFmtId="196" formatCode="#,##0.000000"/>
    <numFmt numFmtId="197" formatCode="0.0"/>
    <numFmt numFmtId="198" formatCode="0.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#,##0.00&quot; ' &quot;"/>
    <numFmt numFmtId="204" formatCode="0.00000000"/>
    <numFmt numFmtId="205" formatCode="0.0000000"/>
    <numFmt numFmtId="206" formatCode="0.000000000"/>
    <numFmt numFmtId="207" formatCode="0.0000000000"/>
  </numFmts>
  <fonts count="66"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NI-Times"/>
      <family val="0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宋体"/>
      <family val="0"/>
    </font>
    <font>
      <sz val="11"/>
      <name val="Arial"/>
      <family val="2"/>
    </font>
    <font>
      <b/>
      <sz val="16"/>
      <name val="vni-times"/>
      <family val="0"/>
    </font>
    <font>
      <b/>
      <sz val="18"/>
      <name val="VNI-Times"/>
      <family val="0"/>
    </font>
    <font>
      <sz val="10"/>
      <name val=".VnTime"/>
      <family val="2"/>
    </font>
    <font>
      <sz val="11"/>
      <name val=".VnTime"/>
      <family val="2"/>
    </font>
    <font>
      <i/>
      <sz val="12"/>
      <name val="VNI-Times"/>
      <family val="0"/>
    </font>
    <font>
      <b/>
      <sz val="12"/>
      <name val=".VnTime"/>
      <family val="2"/>
    </font>
    <font>
      <sz val="12"/>
      <name val=".VnTime"/>
      <family val="2"/>
    </font>
    <font>
      <sz val="11"/>
      <name val="VNI-Times"/>
      <family val="0"/>
    </font>
    <font>
      <b/>
      <sz val="12"/>
      <name val="VNI-Times"/>
      <family val="0"/>
    </font>
    <font>
      <b/>
      <sz val="11"/>
      <name val="VNI-Times"/>
      <family val="0"/>
    </font>
    <font>
      <b/>
      <sz val="10"/>
      <name val="VNI-Times"/>
      <family val="0"/>
    </font>
    <font>
      <sz val="9"/>
      <color indexed="12"/>
      <name val="VNI-Times"/>
      <family val="0"/>
    </font>
    <font>
      <b/>
      <sz val="13"/>
      <name val="VNI-Helve-Condense"/>
      <family val="0"/>
    </font>
    <font>
      <b/>
      <sz val="10"/>
      <name val="VNI-Helve-Condense"/>
      <family val="0"/>
    </font>
    <font>
      <i/>
      <sz val="10"/>
      <name val="VNI-Times"/>
      <family val="0"/>
    </font>
    <font>
      <b/>
      <u val="single"/>
      <sz val="11"/>
      <name val="VNI-Times"/>
      <family val="0"/>
    </font>
    <font>
      <sz val="10"/>
      <color indexed="10"/>
      <name val="VNI-Times"/>
      <family val="0"/>
    </font>
    <font>
      <vertAlign val="superscript"/>
      <sz val="10"/>
      <name val=".VnTime"/>
      <family val="2"/>
    </font>
    <font>
      <sz val="10"/>
      <color indexed="62"/>
      <name val=".VnTime"/>
      <family val="2"/>
    </font>
    <font>
      <sz val="9"/>
      <name val="VNI-Times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.VnTime"/>
      <family val="2"/>
    </font>
    <font>
      <sz val="10"/>
      <name val="VNI-Helve-Condense"/>
      <family val="0"/>
    </font>
    <font>
      <i/>
      <sz val="10"/>
      <name val=".VnTime"/>
      <family val="2"/>
    </font>
    <font>
      <b/>
      <i/>
      <sz val="10"/>
      <name val="VNI-Times"/>
      <family val="0"/>
    </font>
    <font>
      <b/>
      <u val="single"/>
      <sz val="10"/>
      <name val="VNI-Times"/>
      <family val="0"/>
    </font>
    <font>
      <b/>
      <sz val="11"/>
      <name val=".VnTime"/>
      <family val="2"/>
    </font>
    <font>
      <sz val="9"/>
      <name val="VNI-Helve-Condense"/>
      <family val="0"/>
    </font>
    <font>
      <b/>
      <sz val="9"/>
      <name val="VNI-Helve-Condense"/>
      <family val="0"/>
    </font>
    <font>
      <b/>
      <sz val="9"/>
      <name val="VNI-Times"/>
      <family val="0"/>
    </font>
    <font>
      <sz val="9"/>
      <name val=".VnTime"/>
      <family val="2"/>
    </font>
    <font>
      <vertAlign val="superscript"/>
      <sz val="9"/>
      <name val=".VnTime"/>
      <family val="2"/>
    </font>
    <font>
      <i/>
      <sz val="9"/>
      <name val=".VnTime"/>
      <family val="2"/>
    </font>
    <font>
      <sz val="9"/>
      <color indexed="62"/>
      <name val=".VnTime"/>
      <family val="2"/>
    </font>
    <font>
      <sz val="10"/>
      <color indexed="10"/>
      <name val=".VnTime"/>
      <family val="2"/>
    </font>
    <font>
      <b/>
      <sz val="14"/>
      <color indexed="10"/>
      <name val="VNI-Times"/>
      <family val="0"/>
    </font>
    <font>
      <sz val="10"/>
      <color indexed="18"/>
      <name val="VNI-Times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20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2" fillId="0" borderId="0">
      <alignment/>
      <protection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184" fontId="26" fillId="0" borderId="0" applyFont="0" applyFill="0" applyBorder="0" applyAlignment="0" applyProtection="0"/>
    <xf numFmtId="0" fontId="26" fillId="0" borderId="0">
      <alignment/>
      <protection/>
    </xf>
  </cellStyleXfs>
  <cellXfs count="418">
    <xf numFmtId="0" fontId="0" fillId="0" borderId="0" xfId="0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 horizontal="left"/>
    </xf>
    <xf numFmtId="0" fontId="29" fillId="0" borderId="0" xfId="64" applyFont="1" applyBorder="1">
      <alignment/>
      <protection/>
    </xf>
    <xf numFmtId="0" fontId="30" fillId="0" borderId="0" xfId="64" applyFont="1" applyBorder="1">
      <alignment/>
      <protection/>
    </xf>
    <xf numFmtId="0" fontId="27" fillId="0" borderId="0" xfId="64" applyFont="1" applyBorder="1" applyAlignment="1">
      <alignment horizontal="centerContinuous"/>
      <protection/>
    </xf>
    <xf numFmtId="0" fontId="29" fillId="0" borderId="0" xfId="64" applyFont="1" applyBorder="1" applyAlignment="1">
      <alignment horizontal="centerContinuous"/>
      <protection/>
    </xf>
    <xf numFmtId="0" fontId="3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2" fillId="0" borderId="0" xfId="64" applyFont="1" applyBorder="1" applyAlignment="1">
      <alignment vertical="center"/>
      <protection/>
    </xf>
    <xf numFmtId="0" fontId="33" fillId="0" borderId="0" xfId="64" applyFont="1" applyBorder="1" applyAlignment="1">
      <alignment horizontal="center" vertical="center"/>
      <protection/>
    </xf>
    <xf numFmtId="0" fontId="33" fillId="0" borderId="0" xfId="64" applyFont="1" applyBorder="1">
      <alignment/>
      <protection/>
    </xf>
    <xf numFmtId="0" fontId="0" fillId="0" borderId="0" xfId="0" applyFont="1" applyAlignment="1" quotePrefix="1">
      <alignment horizontal="right"/>
    </xf>
    <xf numFmtId="0" fontId="33" fillId="0" borderId="0" xfId="64" applyFont="1" applyBorder="1" applyAlignment="1">
      <alignment horizontal="left" vertical="center"/>
      <protection/>
    </xf>
    <xf numFmtId="173" fontId="33" fillId="0" borderId="0" xfId="44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Alignment="1">
      <alignment vertical="top"/>
    </xf>
    <xf numFmtId="0" fontId="32" fillId="0" borderId="0" xfId="64" applyFont="1" applyBorder="1" applyAlignment="1">
      <alignment vertical="top"/>
      <protection/>
    </xf>
    <xf numFmtId="0" fontId="33" fillId="0" borderId="0" xfId="64" applyFont="1" applyBorder="1" applyAlignment="1">
      <alignment horizontal="left" vertical="top"/>
      <protection/>
    </xf>
    <xf numFmtId="0" fontId="33" fillId="0" borderId="0" xfId="64" applyFont="1" applyBorder="1" applyAlignment="1">
      <alignment horizontal="center" vertical="top"/>
      <protection/>
    </xf>
    <xf numFmtId="0" fontId="0" fillId="0" borderId="0" xfId="0" applyFont="1" applyAlignment="1">
      <alignment horizontal="right" vertical="top"/>
    </xf>
    <xf numFmtId="3" fontId="0" fillId="0" borderId="0" xfId="42" applyNumberFormat="1" applyFont="1" applyAlignment="1">
      <alignment vertical="top"/>
    </xf>
    <xf numFmtId="0" fontId="0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0" fillId="0" borderId="12" xfId="64" applyFont="1" applyBorder="1" applyAlignment="1">
      <alignment horizontal="center"/>
      <protection/>
    </xf>
    <xf numFmtId="176" fontId="30" fillId="0" borderId="13" xfId="64" applyNumberFormat="1" applyFont="1" applyBorder="1" applyAlignment="1">
      <alignment/>
      <protection/>
    </xf>
    <xf numFmtId="9" fontId="30" fillId="0" borderId="14" xfId="44" applyNumberFormat="1" applyFont="1" applyBorder="1" applyAlignment="1">
      <alignment horizontal="center"/>
    </xf>
    <xf numFmtId="0" fontId="30" fillId="0" borderId="14" xfId="64" applyFont="1" applyBorder="1" applyAlignment="1">
      <alignment horizontal="center"/>
      <protection/>
    </xf>
    <xf numFmtId="0" fontId="30" fillId="0" borderId="14" xfId="64" applyFont="1" applyBorder="1" applyAlignment="1">
      <alignment/>
      <protection/>
    </xf>
    <xf numFmtId="0" fontId="29" fillId="0" borderId="15" xfId="0" applyFont="1" applyBorder="1" applyAlignment="1">
      <alignment/>
    </xf>
    <xf numFmtId="0" fontId="30" fillId="0" borderId="12" xfId="64" applyFont="1" applyBorder="1" applyAlignment="1">
      <alignment horizontal="center" vertical="center"/>
      <protection/>
    </xf>
    <xf numFmtId="0" fontId="30" fillId="0" borderId="12" xfId="64" applyFont="1" applyBorder="1" applyAlignment="1">
      <alignment/>
      <protection/>
    </xf>
    <xf numFmtId="0" fontId="30" fillId="0" borderId="12" xfId="64" applyFont="1" applyBorder="1" applyAlignment="1" quotePrefix="1">
      <alignment horizontal="center"/>
      <protection/>
    </xf>
    <xf numFmtId="1" fontId="30" fillId="0" borderId="12" xfId="44" applyNumberFormat="1" applyFont="1" applyBorder="1" applyAlignment="1">
      <alignment horizontal="center"/>
    </xf>
    <xf numFmtId="0" fontId="29" fillId="0" borderId="16" xfId="64" applyFont="1" applyBorder="1">
      <alignment/>
      <protection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30" fillId="0" borderId="0" xfId="64" applyFont="1" applyBorder="1" applyAlignment="1">
      <alignment vertical="top"/>
      <protection/>
    </xf>
    <xf numFmtId="0" fontId="37" fillId="0" borderId="17" xfId="64" applyFont="1" applyBorder="1" applyAlignment="1">
      <alignment horizontal="center" vertical="center"/>
      <protection/>
    </xf>
    <xf numFmtId="0" fontId="29" fillId="0" borderId="18" xfId="0" applyFont="1" applyBorder="1" applyAlignment="1">
      <alignment/>
    </xf>
    <xf numFmtId="0" fontId="38" fillId="0" borderId="19" xfId="64" applyFont="1" applyBorder="1" applyAlignment="1" quotePrefix="1">
      <alignment horizontal="center" vertical="center"/>
      <protection/>
    </xf>
    <xf numFmtId="177" fontId="30" fillId="0" borderId="14" xfId="64" applyNumberFormat="1" applyFont="1" applyBorder="1" applyAlignment="1">
      <alignment horizontal="right"/>
      <protection/>
    </xf>
    <xf numFmtId="1" fontId="30" fillId="0" borderId="14" xfId="44" applyNumberFormat="1" applyFont="1" applyBorder="1" applyAlignment="1">
      <alignment horizontal="center"/>
    </xf>
    <xf numFmtId="4" fontId="30" fillId="0" borderId="13" xfId="64" applyNumberFormat="1" applyFont="1" applyBorder="1" applyAlignment="1">
      <alignment/>
      <protection/>
    </xf>
    <xf numFmtId="0" fontId="29" fillId="0" borderId="15" xfId="0" applyFont="1" applyBorder="1" applyAlignment="1">
      <alignment/>
    </xf>
    <xf numFmtId="0" fontId="38" fillId="0" borderId="12" xfId="64" applyFont="1" applyBorder="1" applyAlignment="1" quotePrefix="1">
      <alignment horizontal="center" vertical="center"/>
      <protection/>
    </xf>
    <xf numFmtId="177" fontId="30" fillId="0" borderId="12" xfId="64" applyNumberFormat="1" applyFont="1" applyBorder="1" applyAlignment="1">
      <alignment horizontal="right"/>
      <protection/>
    </xf>
    <xf numFmtId="0" fontId="30" fillId="0" borderId="12" xfId="64" applyFont="1" applyBorder="1">
      <alignment/>
      <protection/>
    </xf>
    <xf numFmtId="177" fontId="30" fillId="0" borderId="12" xfId="64" applyNumberFormat="1" applyFont="1" applyBorder="1" applyAlignment="1">
      <alignment horizontal="right" vertical="center"/>
      <protection/>
    </xf>
    <xf numFmtId="0" fontId="30" fillId="0" borderId="20" xfId="64" applyFont="1" applyBorder="1" applyAlignment="1">
      <alignment horizontal="center"/>
      <protection/>
    </xf>
    <xf numFmtId="0" fontId="30" fillId="0" borderId="15" xfId="64" applyFont="1" applyBorder="1" applyAlignment="1">
      <alignment horizontal="left" vertical="center"/>
      <protection/>
    </xf>
    <xf numFmtId="0" fontId="30" fillId="0" borderId="12" xfId="64" applyFont="1" applyBorder="1" applyAlignment="1">
      <alignment horizontal="left" vertical="center"/>
      <protection/>
    </xf>
    <xf numFmtId="0" fontId="39" fillId="0" borderId="0" xfId="65" applyFont="1" applyAlignment="1">
      <alignment horizontal="centerContinuous"/>
      <protection/>
    </xf>
    <xf numFmtId="0" fontId="35" fillId="0" borderId="0" xfId="65" applyFont="1" applyAlignment="1">
      <alignment horizontal="centerContinuous"/>
      <protection/>
    </xf>
    <xf numFmtId="0" fontId="36" fillId="0" borderId="0" xfId="65" applyFont="1">
      <alignment/>
      <protection/>
    </xf>
    <xf numFmtId="0" fontId="6" fillId="0" borderId="0" xfId="65" applyFont="1" applyAlignment="1">
      <alignment horizontal="center" vertical="center"/>
      <protection/>
    </xf>
    <xf numFmtId="0" fontId="6" fillId="0" borderId="0" xfId="65" applyFont="1" applyAlignment="1">
      <alignment vertical="center"/>
      <protection/>
    </xf>
    <xf numFmtId="0" fontId="34" fillId="0" borderId="0" xfId="65" applyFont="1" applyAlignment="1">
      <alignment vertical="center"/>
      <protection/>
    </xf>
    <xf numFmtId="0" fontId="34" fillId="0" borderId="0" xfId="65" applyFont="1" applyAlignment="1">
      <alignment horizontal="left" vertical="center"/>
      <protection/>
    </xf>
    <xf numFmtId="14" fontId="34" fillId="0" borderId="0" xfId="65" applyNumberFormat="1" applyFont="1" applyAlignment="1" quotePrefix="1">
      <alignment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 horizontal="left" vertical="center"/>
      <protection/>
    </xf>
    <xf numFmtId="172" fontId="6" fillId="0" borderId="0" xfId="65" applyNumberFormat="1" applyFont="1" applyBorder="1" applyAlignment="1">
      <alignment horizontal="center" vertical="center"/>
      <protection/>
    </xf>
    <xf numFmtId="172" fontId="6" fillId="0" borderId="0" xfId="65" applyNumberFormat="1" applyFont="1" applyBorder="1" applyAlignment="1">
      <alignment vertical="center"/>
      <protection/>
    </xf>
    <xf numFmtId="0" fontId="6" fillId="0" borderId="17" xfId="65" applyFont="1" applyBorder="1" applyAlignment="1">
      <alignment horizontal="center" vertical="center"/>
      <protection/>
    </xf>
    <xf numFmtId="0" fontId="37" fillId="0" borderId="16" xfId="65" applyFont="1" applyBorder="1" applyAlignment="1">
      <alignment horizontal="left" vertical="center"/>
      <protection/>
    </xf>
    <xf numFmtId="0" fontId="6" fillId="0" borderId="21" xfId="65" applyFont="1" applyBorder="1" applyAlignment="1">
      <alignment horizontal="center" vertical="center"/>
      <protection/>
    </xf>
    <xf numFmtId="0" fontId="6" fillId="0" borderId="22" xfId="65" applyFont="1" applyBorder="1" applyAlignment="1">
      <alignment horizontal="center" vertical="center"/>
      <protection/>
    </xf>
    <xf numFmtId="0" fontId="6" fillId="0" borderId="23" xfId="65" applyFont="1" applyBorder="1" applyAlignment="1">
      <alignment horizontal="center" vertical="center"/>
      <protection/>
    </xf>
    <xf numFmtId="175" fontId="6" fillId="0" borderId="24" xfId="42" applyNumberFormat="1" applyFont="1" applyBorder="1" applyAlignment="1">
      <alignment horizontal="right" vertical="center"/>
    </xf>
    <xf numFmtId="0" fontId="6" fillId="0" borderId="25" xfId="65" applyFont="1" applyBorder="1" applyAlignment="1">
      <alignment horizontal="left" vertical="center"/>
      <protection/>
    </xf>
    <xf numFmtId="175" fontId="6" fillId="0" borderId="24" xfId="42" applyNumberFormat="1" applyFont="1" applyBorder="1" applyAlignment="1">
      <alignment horizontal="left" vertical="center"/>
    </xf>
    <xf numFmtId="0" fontId="6" fillId="0" borderId="10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/>
      <protection/>
    </xf>
    <xf numFmtId="9" fontId="6" fillId="0" borderId="26" xfId="65" applyNumberFormat="1" applyFont="1" applyBorder="1" applyAlignment="1">
      <alignment horizontal="center" vertical="center"/>
      <protection/>
    </xf>
    <xf numFmtId="43" fontId="6" fillId="0" borderId="26" xfId="65" applyNumberFormat="1" applyFont="1" applyBorder="1" applyAlignment="1">
      <alignment horizontal="center" vertical="center"/>
      <protection/>
    </xf>
    <xf numFmtId="0" fontId="6" fillId="0" borderId="26" xfId="65" applyFont="1" applyBorder="1" applyAlignment="1">
      <alignment horizontal="center" vertical="center"/>
      <protection/>
    </xf>
    <xf numFmtId="175" fontId="6" fillId="0" borderId="26" xfId="42" applyNumberFormat="1" applyFont="1" applyBorder="1" applyAlignment="1">
      <alignment vertical="center"/>
    </xf>
    <xf numFmtId="43" fontId="6" fillId="0" borderId="26" xfId="65" applyNumberFormat="1" applyFont="1" applyBorder="1" applyAlignment="1">
      <alignment vertical="center"/>
      <protection/>
    </xf>
    <xf numFmtId="176" fontId="30" fillId="0" borderId="12" xfId="64" applyNumberFormat="1" applyFont="1" applyBorder="1" applyAlignment="1">
      <alignment horizontal="right" vertical="center"/>
      <protection/>
    </xf>
    <xf numFmtId="9" fontId="6" fillId="0" borderId="12" xfId="65" applyNumberFormat="1" applyFont="1" applyBorder="1" applyAlignment="1">
      <alignment horizontal="center" vertical="center"/>
      <protection/>
    </xf>
    <xf numFmtId="43" fontId="6" fillId="0" borderId="12" xfId="65" applyNumberFormat="1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175" fontId="6" fillId="0" borderId="12" xfId="42" applyNumberFormat="1" applyFont="1" applyBorder="1" applyAlignment="1">
      <alignment vertical="center"/>
    </xf>
    <xf numFmtId="43" fontId="6" fillId="0" borderId="12" xfId="65" applyNumberFormat="1" applyFont="1" applyBorder="1" applyAlignment="1">
      <alignment vertical="center"/>
      <protection/>
    </xf>
    <xf numFmtId="0" fontId="6" fillId="0" borderId="27" xfId="65" applyFont="1" applyBorder="1" applyAlignment="1">
      <alignment vertical="center"/>
      <protection/>
    </xf>
    <xf numFmtId="0" fontId="6" fillId="0" borderId="28" xfId="65" applyFont="1" applyBorder="1" applyAlignment="1">
      <alignment horizontal="center" vertical="center"/>
      <protection/>
    </xf>
    <xf numFmtId="0" fontId="37" fillId="0" borderId="4" xfId="65" applyFont="1" applyBorder="1" applyAlignment="1">
      <alignment vertical="center"/>
      <protection/>
    </xf>
    <xf numFmtId="0" fontId="6" fillId="0" borderId="4" xfId="65" applyFont="1" applyBorder="1" applyAlignment="1">
      <alignment vertical="center"/>
      <protection/>
    </xf>
    <xf numFmtId="0" fontId="6" fillId="0" borderId="4" xfId="65" applyFont="1" applyBorder="1" applyAlignment="1">
      <alignment horizontal="center" vertical="center"/>
      <protection/>
    </xf>
    <xf numFmtId="172" fontId="6" fillId="0" borderId="4" xfId="65" applyNumberFormat="1" applyFont="1" applyBorder="1" applyAlignment="1">
      <alignment horizontal="center" vertical="center"/>
      <protection/>
    </xf>
    <xf numFmtId="43" fontId="6" fillId="0" borderId="4" xfId="65" applyNumberFormat="1" applyFont="1" applyBorder="1" applyAlignment="1">
      <alignment horizontal="center" vertical="center"/>
      <protection/>
    </xf>
    <xf numFmtId="43" fontId="37" fillId="0" borderId="4" xfId="42" applyNumberFormat="1" applyFont="1" applyBorder="1" applyAlignment="1">
      <alignment horizontal="right" vertical="center"/>
    </xf>
    <xf numFmtId="43" fontId="37" fillId="0" borderId="4" xfId="65" applyNumberFormat="1" applyFont="1" applyBorder="1" applyAlignment="1">
      <alignment vertical="center"/>
      <protection/>
    </xf>
    <xf numFmtId="0" fontId="6" fillId="0" borderId="29" xfId="65" applyFont="1" applyBorder="1" applyAlignment="1">
      <alignment horizontal="center" vertical="center"/>
      <protection/>
    </xf>
    <xf numFmtId="0" fontId="6" fillId="0" borderId="0" xfId="65" applyAlignment="1">
      <alignment horizontal="center"/>
      <protection/>
    </xf>
    <xf numFmtId="0" fontId="6" fillId="0" borderId="0" xfId="65">
      <alignment/>
      <protection/>
    </xf>
    <xf numFmtId="0" fontId="41" fillId="0" borderId="0" xfId="65" applyFont="1" applyFill="1" applyBorder="1" applyAlignment="1">
      <alignment vertical="center"/>
      <protection/>
    </xf>
    <xf numFmtId="0" fontId="42" fillId="0" borderId="0" xfId="65" applyFont="1">
      <alignment/>
      <protection/>
    </xf>
    <xf numFmtId="0" fontId="6" fillId="0" borderId="0" xfId="65" applyAlignment="1">
      <alignment vertical="center"/>
      <protection/>
    </xf>
    <xf numFmtId="0" fontId="43" fillId="0" borderId="0" xfId="65" applyFont="1" applyAlignment="1">
      <alignment horizontal="center" vertical="center"/>
      <protection/>
    </xf>
    <xf numFmtId="0" fontId="43" fillId="0" borderId="0" xfId="65" applyFont="1" applyAlignment="1">
      <alignment vertical="center"/>
      <protection/>
    </xf>
    <xf numFmtId="2" fontId="6" fillId="0" borderId="0" xfId="65" applyNumberFormat="1">
      <alignment/>
      <protection/>
    </xf>
    <xf numFmtId="0" fontId="43" fillId="0" borderId="0" xfId="65" applyFont="1">
      <alignment/>
      <protection/>
    </xf>
    <xf numFmtId="0" fontId="29" fillId="0" borderId="30" xfId="0" applyFont="1" applyBorder="1" applyAlignment="1">
      <alignment/>
    </xf>
    <xf numFmtId="0" fontId="6" fillId="0" borderId="18" xfId="64" applyFont="1" applyBorder="1" applyAlignment="1">
      <alignment horizontal="center"/>
      <protection/>
    </xf>
    <xf numFmtId="0" fontId="29" fillId="0" borderId="19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/>
      <protection/>
    </xf>
    <xf numFmtId="0" fontId="29" fillId="0" borderId="12" xfId="64" applyFont="1" applyBorder="1" applyAlignment="1">
      <alignment horizontal="center" vertical="center"/>
      <protection/>
    </xf>
    <xf numFmtId="0" fontId="45" fillId="0" borderId="12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/>
      <protection/>
    </xf>
    <xf numFmtId="0" fontId="0" fillId="0" borderId="0" xfId="0" applyFont="1" applyAlignment="1">
      <alignment/>
    </xf>
    <xf numFmtId="0" fontId="46" fillId="0" borderId="12" xfId="64" applyFont="1" applyBorder="1" applyAlignment="1" quotePrefix="1">
      <alignment horizontal="center"/>
      <protection/>
    </xf>
    <xf numFmtId="0" fontId="6" fillId="0" borderId="32" xfId="65" applyFont="1" applyBorder="1" applyAlignment="1">
      <alignment vertical="center"/>
      <protection/>
    </xf>
    <xf numFmtId="0" fontId="30" fillId="0" borderId="26" xfId="64" applyFont="1" applyBorder="1" applyAlignment="1">
      <alignment horizontal="center"/>
      <protection/>
    </xf>
    <xf numFmtId="0" fontId="30" fillId="0" borderId="26" xfId="64" applyFont="1" applyBorder="1" applyAlignment="1">
      <alignment horizontal="center" vertical="center"/>
      <protection/>
    </xf>
    <xf numFmtId="0" fontId="30" fillId="0" borderId="33" xfId="64" applyFont="1" applyBorder="1" applyAlignment="1">
      <alignment horizontal="left" vertical="center"/>
      <protection/>
    </xf>
    <xf numFmtId="0" fontId="36" fillId="0" borderId="0" xfId="65" applyFont="1" applyAlignment="1">
      <alignment vertical="center"/>
      <protection/>
    </xf>
    <xf numFmtId="43" fontId="6" fillId="0" borderId="0" xfId="65" applyNumberFormat="1" applyFont="1" applyAlignment="1">
      <alignment vertical="center"/>
      <protection/>
    </xf>
    <xf numFmtId="0" fontId="47" fillId="4" borderId="0" xfId="83" applyFont="1" applyFill="1">
      <alignment/>
      <protection/>
    </xf>
    <xf numFmtId="0" fontId="7" fillId="0" borderId="0" xfId="83">
      <alignment/>
      <protection/>
    </xf>
    <xf numFmtId="0" fontId="7" fillId="4" borderId="0" xfId="83" applyFill="1">
      <alignment/>
      <protection/>
    </xf>
    <xf numFmtId="0" fontId="7" fillId="22" borderId="34" xfId="83" applyFill="1" applyBorder="1">
      <alignment/>
      <protection/>
    </xf>
    <xf numFmtId="0" fontId="7" fillId="24" borderId="10" xfId="83" applyFill="1" applyBorder="1">
      <alignment/>
      <protection/>
    </xf>
    <xf numFmtId="0" fontId="48" fillId="25" borderId="35" xfId="83" applyFont="1" applyFill="1" applyBorder="1" applyAlignment="1">
      <alignment horizontal="center"/>
      <protection/>
    </xf>
    <xf numFmtId="0" fontId="49" fillId="26" borderId="36" xfId="83" applyFont="1" applyFill="1" applyBorder="1" applyAlignment="1">
      <alignment horizontal="center"/>
      <protection/>
    </xf>
    <xf numFmtId="0" fontId="48" fillId="25" borderId="36" xfId="83" applyFont="1" applyFill="1" applyBorder="1" applyAlignment="1">
      <alignment horizontal="center"/>
      <protection/>
    </xf>
    <xf numFmtId="0" fontId="48" fillId="25" borderId="37" xfId="83" applyFont="1" applyFill="1" applyBorder="1" applyAlignment="1">
      <alignment horizontal="center"/>
      <protection/>
    </xf>
    <xf numFmtId="0" fontId="7" fillId="24" borderId="11" xfId="83" applyFill="1" applyBorder="1">
      <alignment/>
      <protection/>
    </xf>
    <xf numFmtId="0" fontId="7" fillId="22" borderId="22" xfId="83" applyFill="1" applyBorder="1">
      <alignment/>
      <protection/>
    </xf>
    <xf numFmtId="0" fontId="7" fillId="24" borderId="22" xfId="83" applyFill="1" applyBorder="1">
      <alignment/>
      <protection/>
    </xf>
    <xf numFmtId="0" fontId="7" fillId="22" borderId="38" xfId="83" applyFill="1" applyBorder="1">
      <alignment/>
      <protection/>
    </xf>
    <xf numFmtId="0" fontId="37" fillId="0" borderId="30" xfId="64" applyFont="1" applyBorder="1" applyAlignment="1">
      <alignment horizontal="center" vertical="center"/>
      <protection/>
    </xf>
    <xf numFmtId="0" fontId="37" fillId="0" borderId="26" xfId="64" applyFont="1" applyBorder="1" applyAlignment="1">
      <alignment horizontal="center" vertical="center"/>
      <protection/>
    </xf>
    <xf numFmtId="0" fontId="6" fillId="0" borderId="39" xfId="0" applyFont="1" applyBorder="1" applyAlignment="1">
      <alignment horizontal="center" vertical="center"/>
    </xf>
    <xf numFmtId="172" fontId="29" fillId="0" borderId="13" xfId="64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top"/>
    </xf>
    <xf numFmtId="0" fontId="6" fillId="0" borderId="16" xfId="0" applyFont="1" applyBorder="1" applyAlignment="1">
      <alignment vertical="top"/>
    </xf>
    <xf numFmtId="176" fontId="30" fillId="0" borderId="0" xfId="64" applyNumberFormat="1" applyFont="1" applyBorder="1">
      <alignment/>
      <protection/>
    </xf>
    <xf numFmtId="172" fontId="30" fillId="0" borderId="0" xfId="64" applyNumberFormat="1" applyFont="1" applyBorder="1">
      <alignment/>
      <protection/>
    </xf>
    <xf numFmtId="195" fontId="30" fillId="0" borderId="13" xfId="64" applyNumberFormat="1" applyFont="1" applyBorder="1" applyAlignment="1">
      <alignment/>
      <protection/>
    </xf>
    <xf numFmtId="0" fontId="37" fillId="0" borderId="0" xfId="64" applyFont="1" applyBorder="1" applyAlignment="1">
      <alignment horizontal="centerContinuous"/>
      <protection/>
    </xf>
    <xf numFmtId="0" fontId="4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50" fillId="0" borderId="0" xfId="64" applyFont="1" applyBorder="1" applyAlignment="1">
      <alignment vertical="center"/>
      <protection/>
    </xf>
    <xf numFmtId="0" fontId="29" fillId="0" borderId="0" xfId="64" applyFont="1" applyBorder="1" applyAlignment="1">
      <alignment horizontal="center" vertical="center"/>
      <protection/>
    </xf>
    <xf numFmtId="0" fontId="6" fillId="0" borderId="0" xfId="0" applyFont="1" applyAlignment="1" quotePrefix="1">
      <alignment horizontal="right"/>
    </xf>
    <xf numFmtId="0" fontId="29" fillId="0" borderId="0" xfId="64" applyFont="1" applyBorder="1" applyAlignment="1">
      <alignment horizontal="left" vertical="center"/>
      <protection/>
    </xf>
    <xf numFmtId="173" fontId="29" fillId="0" borderId="0" xfId="44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50" fillId="0" borderId="0" xfId="64" applyFont="1" applyBorder="1" applyAlignment="1">
      <alignment vertical="top"/>
      <protection/>
    </xf>
    <xf numFmtId="0" fontId="29" fillId="0" borderId="0" xfId="64" applyFont="1" applyBorder="1" applyAlignment="1">
      <alignment horizontal="left" vertical="top"/>
      <protection/>
    </xf>
    <xf numFmtId="0" fontId="29" fillId="0" borderId="0" xfId="64" applyFont="1" applyBorder="1" applyAlignment="1">
      <alignment horizontal="center" vertical="top"/>
      <protection/>
    </xf>
    <xf numFmtId="0" fontId="6" fillId="0" borderId="0" xfId="0" applyFont="1" applyAlignment="1">
      <alignment horizontal="right" vertical="top"/>
    </xf>
    <xf numFmtId="3" fontId="6" fillId="0" borderId="0" xfId="42" applyNumberFormat="1" applyFont="1" applyAlignment="1">
      <alignment vertical="top"/>
    </xf>
    <xf numFmtId="0" fontId="29" fillId="0" borderId="12" xfId="64" applyFont="1" applyBorder="1" applyAlignment="1">
      <alignment horizontal="center"/>
      <protection/>
    </xf>
    <xf numFmtId="0" fontId="6" fillId="0" borderId="12" xfId="64" applyFont="1" applyBorder="1" applyAlignment="1" quotePrefix="1">
      <alignment horizontal="center"/>
      <protection/>
    </xf>
    <xf numFmtId="0" fontId="29" fillId="0" borderId="12" xfId="64" applyFont="1" applyBorder="1" applyAlignment="1" quotePrefix="1">
      <alignment horizontal="center"/>
      <protection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vertical="top"/>
    </xf>
    <xf numFmtId="0" fontId="51" fillId="0" borderId="11" xfId="0" applyFont="1" applyBorder="1" applyAlignment="1">
      <alignment horizontal="center" vertical="center"/>
    </xf>
    <xf numFmtId="9" fontId="51" fillId="0" borderId="14" xfId="44" applyNumberFormat="1" applyFont="1" applyBorder="1" applyAlignment="1">
      <alignment horizontal="center"/>
    </xf>
    <xf numFmtId="0" fontId="51" fillId="0" borderId="14" xfId="64" applyFont="1" applyBorder="1" applyAlignment="1">
      <alignment horizontal="center"/>
      <protection/>
    </xf>
    <xf numFmtId="0" fontId="51" fillId="0" borderId="14" xfId="64" applyFont="1" applyBorder="1" applyAlignment="1">
      <alignment/>
      <protection/>
    </xf>
    <xf numFmtId="0" fontId="51" fillId="0" borderId="12" xfId="64" applyFont="1" applyBorder="1" applyAlignment="1">
      <alignment horizontal="center"/>
      <protection/>
    </xf>
    <xf numFmtId="0" fontId="51" fillId="0" borderId="13" xfId="64" applyFont="1" applyBorder="1" applyAlignment="1">
      <alignment horizontal="center" vertical="center"/>
      <protection/>
    </xf>
    <xf numFmtId="0" fontId="51" fillId="0" borderId="12" xfId="64" applyFont="1" applyBorder="1" applyAlignment="1">
      <alignment/>
      <protection/>
    </xf>
    <xf numFmtId="0" fontId="51" fillId="0" borderId="13" xfId="64" applyFont="1" applyBorder="1" applyAlignment="1">
      <alignment horizontal="center"/>
      <protection/>
    </xf>
    <xf numFmtId="9" fontId="51" fillId="0" borderId="39" xfId="44" applyNumberFormat="1" applyFont="1" applyBorder="1" applyAlignment="1">
      <alignment horizontal="center"/>
    </xf>
    <xf numFmtId="0" fontId="30" fillId="0" borderId="40" xfId="64" applyFont="1" applyBorder="1" applyAlignment="1">
      <alignment horizontal="center"/>
      <protection/>
    </xf>
    <xf numFmtId="0" fontId="46" fillId="0" borderId="40" xfId="64" applyFont="1" applyBorder="1" applyAlignment="1" quotePrefix="1">
      <alignment horizontal="center"/>
      <protection/>
    </xf>
    <xf numFmtId="9" fontId="30" fillId="0" borderId="40" xfId="44" applyNumberFormat="1" applyFont="1" applyBorder="1" applyAlignment="1">
      <alignment horizontal="center"/>
    </xf>
    <xf numFmtId="176" fontId="30" fillId="0" borderId="41" xfId="64" applyNumberFormat="1" applyFont="1" applyBorder="1" applyAlignment="1">
      <alignment/>
      <protection/>
    </xf>
    <xf numFmtId="0" fontId="30" fillId="0" borderId="10" xfId="64" applyFont="1" applyBorder="1" applyAlignment="1">
      <alignment horizontal="center"/>
      <protection/>
    </xf>
    <xf numFmtId="0" fontId="30" fillId="0" borderId="40" xfId="64" applyFont="1" applyBorder="1" applyAlignment="1">
      <alignment/>
      <protection/>
    </xf>
    <xf numFmtId="0" fontId="29" fillId="0" borderId="32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33" xfId="64" applyFont="1" applyBorder="1" applyAlignment="1">
      <alignment horizontal="left"/>
      <protection/>
    </xf>
    <xf numFmtId="0" fontId="29" fillId="0" borderId="42" xfId="64" applyFont="1" applyBorder="1" applyAlignment="1">
      <alignment horizontal="left"/>
      <protection/>
    </xf>
    <xf numFmtId="0" fontId="41" fillId="0" borderId="0" xfId="0" applyFont="1" applyAlignment="1">
      <alignment horizontal="right"/>
    </xf>
    <xf numFmtId="0" fontId="52" fillId="0" borderId="0" xfId="64" applyFont="1" applyBorder="1">
      <alignment/>
      <protection/>
    </xf>
    <xf numFmtId="0" fontId="52" fillId="0" borderId="16" xfId="64" applyFont="1" applyBorder="1">
      <alignment/>
      <protection/>
    </xf>
    <xf numFmtId="0" fontId="53" fillId="0" borderId="0" xfId="0" applyFont="1" applyAlignment="1">
      <alignment horizontal="right" vertical="top"/>
    </xf>
    <xf numFmtId="176" fontId="29" fillId="0" borderId="13" xfId="64" applyNumberFormat="1" applyFont="1" applyBorder="1" applyAlignment="1">
      <alignment/>
      <protection/>
    </xf>
    <xf numFmtId="9" fontId="29" fillId="0" borderId="26" xfId="44" applyNumberFormat="1" applyFont="1" applyBorder="1" applyAlignment="1">
      <alignment horizontal="center"/>
    </xf>
    <xf numFmtId="0" fontId="29" fillId="0" borderId="14" xfId="64" applyFont="1" applyBorder="1" applyAlignment="1">
      <alignment horizontal="center"/>
      <protection/>
    </xf>
    <xf numFmtId="0" fontId="29" fillId="0" borderId="14" xfId="64" applyFont="1" applyBorder="1" applyAlignment="1">
      <alignment/>
      <protection/>
    </xf>
    <xf numFmtId="9" fontId="29" fillId="0" borderId="12" xfId="44" applyNumberFormat="1" applyFont="1" applyBorder="1" applyAlignment="1">
      <alignment horizontal="center"/>
    </xf>
    <xf numFmtId="0" fontId="29" fillId="0" borderId="12" xfId="64" applyFont="1" applyBorder="1" applyAlignment="1">
      <alignment/>
      <protection/>
    </xf>
    <xf numFmtId="0" fontId="29" fillId="0" borderId="13" xfId="64" applyFont="1" applyBorder="1" applyAlignment="1">
      <alignment horizontal="center"/>
      <protection/>
    </xf>
    <xf numFmtId="9" fontId="29" fillId="0" borderId="39" xfId="44" applyNumberFormat="1" applyFont="1" applyBorder="1" applyAlignment="1">
      <alignment horizontal="center"/>
    </xf>
    <xf numFmtId="0" fontId="53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30" fillId="0" borderId="16" xfId="64" applyFont="1" applyBorder="1" applyAlignment="1">
      <alignment horizontal="center"/>
      <protection/>
    </xf>
    <xf numFmtId="0" fontId="30" fillId="0" borderId="16" xfId="64" applyFont="1" applyBorder="1" applyAlignment="1">
      <alignment horizontal="left"/>
      <protection/>
    </xf>
    <xf numFmtId="0" fontId="46" fillId="0" borderId="16" xfId="64" applyFont="1" applyBorder="1" applyAlignment="1" quotePrefix="1">
      <alignment horizontal="center"/>
      <protection/>
    </xf>
    <xf numFmtId="9" fontId="30" fillId="0" borderId="16" xfId="44" applyNumberFormat="1" applyFont="1" applyBorder="1" applyAlignment="1">
      <alignment horizontal="center"/>
    </xf>
    <xf numFmtId="176" fontId="30" fillId="0" borderId="16" xfId="64" applyNumberFormat="1" applyFont="1" applyBorder="1" applyAlignment="1">
      <alignment/>
      <protection/>
    </xf>
    <xf numFmtId="0" fontId="30" fillId="0" borderId="16" xfId="64" applyFont="1" applyBorder="1" applyAlignment="1">
      <alignment/>
      <protection/>
    </xf>
    <xf numFmtId="172" fontId="51" fillId="0" borderId="13" xfId="64" applyNumberFormat="1" applyFont="1" applyBorder="1" applyAlignment="1">
      <alignment horizontal="center"/>
      <protection/>
    </xf>
    <xf numFmtId="177" fontId="30" fillId="0" borderId="13" xfId="64" applyNumberFormat="1" applyFont="1" applyBorder="1" applyAlignment="1">
      <alignment/>
      <protection/>
    </xf>
    <xf numFmtId="195" fontId="29" fillId="0" borderId="13" xfId="64" applyNumberFormat="1" applyFont="1" applyBorder="1" applyAlignment="1">
      <alignment/>
      <protection/>
    </xf>
    <xf numFmtId="0" fontId="29" fillId="0" borderId="43" xfId="0" applyFont="1" applyBorder="1" applyAlignment="1">
      <alignment/>
    </xf>
    <xf numFmtId="0" fontId="29" fillId="26" borderId="0" xfId="64" applyFont="1" applyFill="1" applyBorder="1">
      <alignment/>
      <protection/>
    </xf>
    <xf numFmtId="172" fontId="29" fillId="26" borderId="0" xfId="64" applyNumberFormat="1" applyFont="1" applyFill="1" applyBorder="1">
      <alignment/>
      <protection/>
    </xf>
    <xf numFmtId="0" fontId="40" fillId="0" borderId="11" xfId="0" applyFont="1" applyBorder="1" applyAlignment="1">
      <alignment horizontal="center" vertical="center"/>
    </xf>
    <xf numFmtId="4" fontId="30" fillId="0" borderId="12" xfId="64" applyNumberFormat="1" applyFont="1" applyBorder="1" applyAlignment="1">
      <alignment horizontal="right" vertical="center"/>
      <protection/>
    </xf>
    <xf numFmtId="2" fontId="6" fillId="0" borderId="12" xfId="65" applyNumberFormat="1" applyFont="1" applyBorder="1" applyAlignment="1">
      <alignment horizontal="center" vertical="center"/>
      <protection/>
    </xf>
    <xf numFmtId="0" fontId="37" fillId="0" borderId="29" xfId="65" applyFont="1" applyBorder="1" applyAlignment="1">
      <alignment horizontal="centerContinuous" vertical="center"/>
      <protection/>
    </xf>
    <xf numFmtId="0" fontId="30" fillId="0" borderId="44" xfId="64" applyFont="1" applyBorder="1" applyAlignment="1">
      <alignment horizontal="left" vertical="center"/>
      <protection/>
    </xf>
    <xf numFmtId="0" fontId="30" fillId="0" borderId="20" xfId="64" applyFont="1" applyBorder="1" applyAlignment="1">
      <alignment horizontal="left" vertical="center"/>
      <protection/>
    </xf>
    <xf numFmtId="0" fontId="30" fillId="0" borderId="44" xfId="64" applyFont="1" applyBorder="1" applyAlignment="1">
      <alignment vertical="center"/>
      <protection/>
    </xf>
    <xf numFmtId="0" fontId="30" fillId="0" borderId="20" xfId="64" applyFont="1" applyBorder="1" applyAlignment="1">
      <alignment vertical="center"/>
      <protection/>
    </xf>
    <xf numFmtId="0" fontId="40" fillId="0" borderId="28" xfId="65" applyFont="1" applyBorder="1" applyAlignment="1">
      <alignment horizontal="centerContinuous" vertical="center"/>
      <protection/>
    </xf>
    <xf numFmtId="0" fontId="37" fillId="0" borderId="4" xfId="65" applyFont="1" applyBorder="1" applyAlignment="1">
      <alignment horizontal="centerContinuous" vertical="center"/>
      <protection/>
    </xf>
    <xf numFmtId="43" fontId="37" fillId="0" borderId="0" xfId="65" applyNumberFormat="1" applyFont="1" applyAlignment="1">
      <alignment vertical="center"/>
      <protection/>
    </xf>
    <xf numFmtId="0" fontId="30" fillId="0" borderId="33" xfId="64" applyFont="1" applyBorder="1" applyAlignment="1">
      <alignment horizontal="left"/>
      <protection/>
    </xf>
    <xf numFmtId="0" fontId="30" fillId="0" borderId="42" xfId="64" applyFont="1" applyBorder="1" applyAlignment="1">
      <alignment horizontal="left"/>
      <protection/>
    </xf>
    <xf numFmtId="0" fontId="55" fillId="0" borderId="0" xfId="64" applyFont="1" applyBorder="1" applyAlignment="1">
      <alignment vertical="center"/>
      <protection/>
    </xf>
    <xf numFmtId="0" fontId="30" fillId="0" borderId="0" xfId="64" applyFont="1" applyBorder="1" applyAlignment="1">
      <alignment horizontal="center" vertical="center"/>
      <protection/>
    </xf>
    <xf numFmtId="0" fontId="34" fillId="0" borderId="0" xfId="0" applyFont="1" applyAlignment="1" quotePrefix="1">
      <alignment horizontal="right"/>
    </xf>
    <xf numFmtId="0" fontId="30" fillId="0" borderId="0" xfId="64" applyFont="1" applyBorder="1" applyAlignment="1">
      <alignment horizontal="left" vertical="center"/>
      <protection/>
    </xf>
    <xf numFmtId="0" fontId="34" fillId="0" borderId="0" xfId="0" applyFont="1" applyAlignment="1">
      <alignment/>
    </xf>
    <xf numFmtId="173" fontId="30" fillId="0" borderId="0" xfId="44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>
      <alignment vertical="top"/>
    </xf>
    <xf numFmtId="0" fontId="55" fillId="0" borderId="0" xfId="64" applyFont="1" applyBorder="1" applyAlignment="1">
      <alignment vertical="top"/>
      <protection/>
    </xf>
    <xf numFmtId="0" fontId="30" fillId="0" borderId="0" xfId="64" applyFont="1" applyBorder="1" applyAlignment="1">
      <alignment horizontal="left" vertical="top"/>
      <protection/>
    </xf>
    <xf numFmtId="0" fontId="30" fillId="0" borderId="0" xfId="64" applyFont="1" applyBorder="1" applyAlignment="1">
      <alignment horizontal="center" vertical="top"/>
      <protection/>
    </xf>
    <xf numFmtId="0" fontId="34" fillId="0" borderId="0" xfId="0" applyFont="1" applyAlignment="1">
      <alignment horizontal="right" vertical="top"/>
    </xf>
    <xf numFmtId="3" fontId="34" fillId="0" borderId="0" xfId="42" applyNumberFormat="1" applyFont="1" applyAlignment="1">
      <alignment vertical="top"/>
    </xf>
    <xf numFmtId="0" fontId="34" fillId="0" borderId="0" xfId="0" applyFont="1" applyAlignment="1">
      <alignment horizontal="left" vertical="top"/>
    </xf>
    <xf numFmtId="0" fontId="6" fillId="0" borderId="30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37" fillId="0" borderId="39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1" fontId="29" fillId="0" borderId="13" xfId="64" applyNumberFormat="1" applyFont="1" applyBorder="1" applyAlignment="1">
      <alignment horizontal="center" vertical="center"/>
      <protection/>
    </xf>
    <xf numFmtId="176" fontId="29" fillId="0" borderId="13" xfId="64" applyNumberFormat="1" applyFont="1" applyBorder="1" applyAlignment="1">
      <alignment horizontal="center"/>
      <protection/>
    </xf>
    <xf numFmtId="3" fontId="29" fillId="0" borderId="13" xfId="64" applyNumberFormat="1" applyFont="1" applyBorder="1" applyAlignment="1">
      <alignment horizontal="center"/>
      <protection/>
    </xf>
    <xf numFmtId="3" fontId="51" fillId="0" borderId="13" xfId="64" applyNumberFormat="1" applyFont="1" applyBorder="1" applyAlignment="1">
      <alignment horizontal="center"/>
      <protection/>
    </xf>
    <xf numFmtId="176" fontId="51" fillId="0" borderId="13" xfId="64" applyNumberFormat="1" applyFont="1" applyBorder="1" applyAlignment="1">
      <alignment horizontal="center"/>
      <protection/>
    </xf>
    <xf numFmtId="1" fontId="30" fillId="0" borderId="13" xfId="64" applyNumberFormat="1" applyFont="1" applyBorder="1" applyAlignment="1">
      <alignment horizontal="center"/>
      <protection/>
    </xf>
    <xf numFmtId="1" fontId="29" fillId="0" borderId="15" xfId="64" applyNumberFormat="1" applyFont="1" applyBorder="1" applyAlignment="1">
      <alignment horizontal="center" vertical="center"/>
      <protection/>
    </xf>
    <xf numFmtId="1" fontId="30" fillId="0" borderId="15" xfId="64" applyNumberFormat="1" applyFont="1" applyBorder="1" applyAlignment="1">
      <alignment horizontal="center"/>
      <protection/>
    </xf>
    <xf numFmtId="1" fontId="30" fillId="0" borderId="40" xfId="64" applyNumberFormat="1" applyFont="1" applyBorder="1" applyAlignment="1">
      <alignment horizontal="center"/>
      <protection/>
    </xf>
    <xf numFmtId="1" fontId="30" fillId="0" borderId="41" xfId="64" applyNumberFormat="1" applyFont="1" applyBorder="1" applyAlignment="1">
      <alignment horizontal="center"/>
      <protection/>
    </xf>
    <xf numFmtId="172" fontId="6" fillId="0" borderId="26" xfId="65" applyNumberFormat="1" applyFont="1" applyBorder="1" applyAlignment="1">
      <alignment horizontal="center" vertical="center"/>
      <protection/>
    </xf>
    <xf numFmtId="198" fontId="29" fillId="26" borderId="0" xfId="64" applyNumberFormat="1" applyFont="1" applyFill="1" applyBorder="1">
      <alignment/>
      <protection/>
    </xf>
    <xf numFmtId="198" fontId="51" fillId="0" borderId="13" xfId="64" applyNumberFormat="1" applyFont="1" applyBorder="1" applyAlignment="1">
      <alignment horizontal="center"/>
      <protection/>
    </xf>
    <xf numFmtId="196" fontId="29" fillId="0" borderId="13" xfId="64" applyNumberFormat="1" applyFont="1" applyBorder="1" applyAlignment="1">
      <alignment horizontal="center"/>
      <protection/>
    </xf>
    <xf numFmtId="0" fontId="29" fillId="0" borderId="13" xfId="0" applyFont="1" applyBorder="1" applyAlignment="1">
      <alignment/>
    </xf>
    <xf numFmtId="0" fontId="38" fillId="0" borderId="14" xfId="64" applyFont="1" applyBorder="1" applyAlignment="1" quotePrefix="1">
      <alignment horizontal="center" vertical="center"/>
      <protection/>
    </xf>
    <xf numFmtId="172" fontId="30" fillId="0" borderId="12" xfId="64" applyNumberFormat="1" applyFont="1" applyBorder="1" applyAlignment="1">
      <alignment horizontal="center"/>
      <protection/>
    </xf>
    <xf numFmtId="0" fontId="29" fillId="0" borderId="20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47" xfId="64" applyFont="1" applyBorder="1" applyAlignment="1">
      <alignment horizontal="left"/>
      <protection/>
    </xf>
    <xf numFmtId="0" fontId="29" fillId="0" borderId="44" xfId="0" applyFont="1" applyBorder="1" applyAlignment="1">
      <alignment/>
    </xf>
    <xf numFmtId="0" fontId="46" fillId="0" borderId="12" xfId="64" applyFont="1" applyBorder="1" applyAlignment="1" quotePrefix="1">
      <alignment horizontal="center" vertical="center"/>
      <protection/>
    </xf>
    <xf numFmtId="0" fontId="56" fillId="0" borderId="26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172" fontId="56" fillId="0" borderId="13" xfId="64" applyNumberFormat="1" applyFont="1" applyBorder="1" applyAlignment="1">
      <alignment horizontal="center"/>
      <protection/>
    </xf>
    <xf numFmtId="2" fontId="56" fillId="0" borderId="13" xfId="64" applyNumberFormat="1" applyFont="1" applyBorder="1" applyAlignment="1">
      <alignment horizontal="center"/>
      <protection/>
    </xf>
    <xf numFmtId="3" fontId="56" fillId="0" borderId="13" xfId="64" applyNumberFormat="1" applyFont="1" applyBorder="1" applyAlignment="1">
      <alignment horizontal="center" vertical="center"/>
      <protection/>
    </xf>
    <xf numFmtId="176" fontId="56" fillId="0" borderId="13" xfId="64" applyNumberFormat="1" applyFont="1" applyBorder="1" applyAlignment="1">
      <alignment horizontal="center" vertical="center"/>
      <protection/>
    </xf>
    <xf numFmtId="0" fontId="59" fillId="0" borderId="12" xfId="64" applyFont="1" applyBorder="1" applyAlignment="1">
      <alignment horizontal="center" vertical="center"/>
      <protection/>
    </xf>
    <xf numFmtId="172" fontId="56" fillId="0" borderId="13" xfId="64" applyNumberFormat="1" applyFont="1" applyBorder="1" applyAlignment="1">
      <alignment/>
      <protection/>
    </xf>
    <xf numFmtId="9" fontId="56" fillId="0" borderId="14" xfId="44" applyNumberFormat="1" applyFont="1" applyBorder="1" applyAlignment="1">
      <alignment horizontal="center"/>
    </xf>
    <xf numFmtId="176" fontId="59" fillId="0" borderId="13" xfId="64" applyNumberFormat="1" applyFont="1" applyBorder="1" applyAlignment="1">
      <alignment/>
      <protection/>
    </xf>
    <xf numFmtId="0" fontId="56" fillId="0" borderId="14" xfId="64" applyFont="1" applyBorder="1" applyAlignment="1">
      <alignment horizontal="center"/>
      <protection/>
    </xf>
    <xf numFmtId="0" fontId="56" fillId="0" borderId="14" xfId="64" applyFont="1" applyBorder="1" applyAlignment="1">
      <alignment/>
      <protection/>
    </xf>
    <xf numFmtId="0" fontId="56" fillId="0" borderId="12" xfId="64" applyFont="1" applyBorder="1" applyAlignment="1">
      <alignment horizontal="center"/>
      <protection/>
    </xf>
    <xf numFmtId="0" fontId="56" fillId="0" borderId="12" xfId="64" applyFont="1" applyBorder="1" applyAlignment="1">
      <alignment/>
      <protection/>
    </xf>
    <xf numFmtId="0" fontId="59" fillId="0" borderId="12" xfId="64" applyFont="1" applyBorder="1" applyAlignment="1">
      <alignment horizontal="center"/>
      <protection/>
    </xf>
    <xf numFmtId="0" fontId="46" fillId="0" borderId="0" xfId="0" applyFont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61" fillId="0" borderId="0" xfId="0" applyFont="1" applyBorder="1" applyAlignment="1">
      <alignment horizontal="center"/>
    </xf>
    <xf numFmtId="0" fontId="61" fillId="0" borderId="0" xfId="64" applyFont="1" applyBorder="1" applyAlignment="1">
      <alignment horizontal="center"/>
      <protection/>
    </xf>
    <xf numFmtId="0" fontId="56" fillId="0" borderId="48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9" fillId="0" borderId="14" xfId="64" applyFont="1" applyBorder="1" applyAlignment="1">
      <alignment horizontal="center" vertical="center"/>
      <protection/>
    </xf>
    <xf numFmtId="195" fontId="59" fillId="0" borderId="13" xfId="64" applyNumberFormat="1" applyFont="1" applyBorder="1" applyAlignment="1">
      <alignment/>
      <protection/>
    </xf>
    <xf numFmtId="177" fontId="59" fillId="0" borderId="13" xfId="64" applyNumberFormat="1" applyFont="1" applyBorder="1" applyAlignment="1">
      <alignment/>
      <protection/>
    </xf>
    <xf numFmtId="0" fontId="62" fillId="0" borderId="12" xfId="64" applyFont="1" applyBorder="1" applyAlignment="1">
      <alignment horizontal="center" vertical="center"/>
      <protection/>
    </xf>
    <xf numFmtId="0" fontId="59" fillId="0" borderId="12" xfId="64" applyFont="1" applyBorder="1" applyAlignment="1" quotePrefix="1">
      <alignment horizontal="center"/>
      <protection/>
    </xf>
    <xf numFmtId="0" fontId="56" fillId="0" borderId="13" xfId="64" applyFont="1" applyBorder="1" applyAlignment="1">
      <alignment horizontal="center" vertical="center"/>
      <protection/>
    </xf>
    <xf numFmtId="176" fontId="56" fillId="0" borderId="13" xfId="64" applyNumberFormat="1" applyFont="1" applyBorder="1" applyAlignment="1">
      <alignment/>
      <protection/>
    </xf>
    <xf numFmtId="9" fontId="56" fillId="0" borderId="10" xfId="44" applyNumberFormat="1" applyFont="1" applyBorder="1" applyAlignment="1">
      <alignment horizontal="center"/>
    </xf>
    <xf numFmtId="0" fontId="56" fillId="0" borderId="13" xfId="64" applyFont="1" applyBorder="1" applyAlignment="1">
      <alignment horizontal="center"/>
      <protection/>
    </xf>
    <xf numFmtId="9" fontId="56" fillId="0" borderId="39" xfId="44" applyNumberFormat="1" applyFont="1" applyBorder="1" applyAlignment="1">
      <alignment horizontal="center"/>
    </xf>
    <xf numFmtId="0" fontId="59" fillId="0" borderId="16" xfId="64" applyFont="1" applyBorder="1">
      <alignment/>
      <protection/>
    </xf>
    <xf numFmtId="0" fontId="59" fillId="0" borderId="0" xfId="64" applyFont="1" applyBorder="1">
      <alignment/>
      <protection/>
    </xf>
    <xf numFmtId="172" fontId="30" fillId="0" borderId="26" xfId="64" applyNumberFormat="1" applyFont="1" applyBorder="1" applyAlignment="1">
      <alignment horizontal="center" vertical="center"/>
      <protection/>
    </xf>
    <xf numFmtId="199" fontId="30" fillId="0" borderId="26" xfId="42" applyNumberFormat="1" applyFont="1" applyBorder="1" applyAlignment="1">
      <alignment horizontal="right" vertical="center"/>
    </xf>
    <xf numFmtId="43" fontId="6" fillId="0" borderId="0" xfId="65" applyNumberFormat="1">
      <alignment/>
      <protection/>
    </xf>
    <xf numFmtId="0" fontId="63" fillId="0" borderId="0" xfId="64" applyFont="1" applyBorder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64" applyFont="1" applyBorder="1" applyAlignment="1">
      <alignment vertical="center"/>
      <protection/>
    </xf>
    <xf numFmtId="173" fontId="29" fillId="0" borderId="0" xfId="44" applyNumberFormat="1" applyFont="1" applyBorder="1" applyAlignment="1">
      <alignment horizontal="center" vertical="center"/>
    </xf>
    <xf numFmtId="9" fontId="6" fillId="0" borderId="14" xfId="65" applyNumberFormat="1" applyFont="1" applyBorder="1" applyAlignment="1">
      <alignment horizontal="center" vertical="center"/>
      <protection/>
    </xf>
    <xf numFmtId="43" fontId="6" fillId="0" borderId="14" xfId="65" applyNumberFormat="1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 vertical="center"/>
      <protection/>
    </xf>
    <xf numFmtId="175" fontId="6" fillId="0" borderId="14" xfId="42" applyNumberFormat="1" applyFont="1" applyBorder="1" applyAlignment="1">
      <alignment vertical="center"/>
    </xf>
    <xf numFmtId="1" fontId="30" fillId="0" borderId="14" xfId="64" applyNumberFormat="1" applyFont="1" applyBorder="1" applyAlignment="1">
      <alignment horizontal="center" vertical="center"/>
      <protection/>
    </xf>
    <xf numFmtId="1" fontId="30" fillId="0" borderId="12" xfId="64" applyNumberFormat="1" applyFont="1" applyBorder="1" applyAlignment="1">
      <alignment horizontal="center" vertical="center"/>
      <protection/>
    </xf>
    <xf numFmtId="0" fontId="54" fillId="0" borderId="0" xfId="65" applyFont="1">
      <alignment/>
      <protection/>
    </xf>
    <xf numFmtId="176" fontId="56" fillId="0" borderId="12" xfId="64" applyNumberFormat="1" applyFont="1" applyBorder="1" applyAlignment="1">
      <alignment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left" vertical="center"/>
      <protection/>
    </xf>
    <xf numFmtId="0" fontId="6" fillId="0" borderId="0" xfId="65" applyFont="1">
      <alignment/>
      <protection/>
    </xf>
    <xf numFmtId="10" fontId="6" fillId="0" borderId="14" xfId="65" applyNumberFormat="1" applyFont="1" applyBorder="1" applyAlignment="1">
      <alignment horizontal="center" vertical="center"/>
      <protection/>
    </xf>
    <xf numFmtId="10" fontId="6" fillId="0" borderId="12" xfId="65" applyNumberFormat="1" applyFont="1" applyBorder="1" applyAlignment="1">
      <alignment horizontal="center" vertical="center"/>
      <protection/>
    </xf>
    <xf numFmtId="200" fontId="6" fillId="26" borderId="0" xfId="65" applyNumberFormat="1" applyFill="1">
      <alignment/>
      <protection/>
    </xf>
    <xf numFmtId="0" fontId="6" fillId="26" borderId="0" xfId="65" applyFill="1">
      <alignment/>
      <protection/>
    </xf>
    <xf numFmtId="0" fontId="37" fillId="0" borderId="0" xfId="65" applyFont="1" applyBorder="1" applyAlignment="1">
      <alignment horizontal="center" vertical="center" wrapText="1"/>
      <protection/>
    </xf>
    <xf numFmtId="0" fontId="40" fillId="0" borderId="28" xfId="64" applyFont="1" applyBorder="1" applyAlignment="1">
      <alignment horizontal="center" vertical="center"/>
      <protection/>
    </xf>
    <xf numFmtId="0" fontId="40" fillId="0" borderId="4" xfId="64" applyFont="1" applyBorder="1" applyAlignment="1">
      <alignment horizontal="center" vertical="center"/>
      <protection/>
    </xf>
    <xf numFmtId="0" fontId="40" fillId="0" borderId="29" xfId="64" applyFont="1" applyBorder="1" applyAlignment="1">
      <alignment horizontal="center" vertical="center"/>
      <protection/>
    </xf>
    <xf numFmtId="0" fontId="51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Continuous"/>
    </xf>
    <xf numFmtId="0" fontId="65" fillId="0" borderId="26" xfId="65" applyFont="1" applyBorder="1" applyAlignment="1">
      <alignment horizontal="center" vertical="center"/>
      <protection/>
    </xf>
    <xf numFmtId="0" fontId="65" fillId="0" borderId="12" xfId="65" applyFont="1" applyBorder="1" applyAlignment="1">
      <alignment horizontal="center" vertical="center"/>
      <protection/>
    </xf>
    <xf numFmtId="0" fontId="65" fillId="0" borderId="39" xfId="65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7" fillId="0" borderId="48" xfId="64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51" fillId="0" borderId="22" xfId="0" applyNumberFormat="1" applyFont="1" applyBorder="1" applyAlignment="1">
      <alignment horizontal="center" vertical="center" wrapText="1"/>
    </xf>
    <xf numFmtId="43" fontId="51" fillId="0" borderId="11" xfId="0" applyNumberFormat="1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/>
    </xf>
    <xf numFmtId="0" fontId="29" fillId="0" borderId="22" xfId="64" applyFont="1" applyBorder="1" applyAlignment="1">
      <alignment horizontal="center" vertical="center"/>
      <protection/>
    </xf>
    <xf numFmtId="0" fontId="29" fillId="0" borderId="10" xfId="64" applyFont="1" applyBorder="1" applyAlignment="1">
      <alignment horizontal="center" vertical="center"/>
      <protection/>
    </xf>
    <xf numFmtId="0" fontId="29" fillId="0" borderId="11" xfId="64" applyFont="1" applyBorder="1" applyAlignment="1">
      <alignment horizontal="center" vertical="center"/>
      <protection/>
    </xf>
    <xf numFmtId="0" fontId="37" fillId="0" borderId="48" xfId="64" applyFont="1" applyBorder="1" applyAlignment="1">
      <alignment horizontal="center" vertical="center" wrapText="1"/>
      <protection/>
    </xf>
    <xf numFmtId="0" fontId="37" fillId="0" borderId="28" xfId="64" applyFont="1" applyBorder="1" applyAlignment="1">
      <alignment horizontal="center" vertical="center"/>
      <protection/>
    </xf>
    <xf numFmtId="0" fontId="37" fillId="0" borderId="29" xfId="64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center" wrapText="1"/>
    </xf>
    <xf numFmtId="43" fontId="6" fillId="0" borderId="22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>
      <alignment horizontal="center" vertical="center" wrapText="1"/>
    </xf>
    <xf numFmtId="0" fontId="37" fillId="0" borderId="4" xfId="64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7" fillId="0" borderId="22" xfId="6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0" fillId="0" borderId="22" xfId="64" applyFont="1" applyBorder="1" applyAlignment="1">
      <alignment horizontal="center" vertical="center"/>
      <protection/>
    </xf>
    <xf numFmtId="0" fontId="30" fillId="0" borderId="10" xfId="64" applyFont="1" applyBorder="1" applyAlignment="1">
      <alignment horizontal="center" vertical="center"/>
      <protection/>
    </xf>
    <xf numFmtId="0" fontId="30" fillId="0" borderId="11" xfId="64" applyFont="1" applyBorder="1" applyAlignment="1">
      <alignment horizontal="center" vertical="center"/>
      <protection/>
    </xf>
    <xf numFmtId="0" fontId="37" fillId="0" borderId="22" xfId="64" applyFont="1" applyBorder="1" applyAlignment="1">
      <alignment horizontal="center" vertical="center" wrapText="1"/>
      <protection/>
    </xf>
    <xf numFmtId="0" fontId="36" fillId="0" borderId="28" xfId="64" applyFont="1" applyBorder="1" applyAlignment="1">
      <alignment horizontal="center" vertical="center"/>
      <protection/>
    </xf>
    <xf numFmtId="0" fontId="36" fillId="0" borderId="29" xfId="64" applyFont="1" applyBorder="1" applyAlignment="1">
      <alignment horizontal="center" vertical="center"/>
      <protection/>
    </xf>
    <xf numFmtId="0" fontId="43" fillId="0" borderId="0" xfId="65" applyFont="1" applyAlignment="1">
      <alignment horizontal="center" vertical="center"/>
      <protection/>
    </xf>
    <xf numFmtId="0" fontId="37" fillId="0" borderId="22" xfId="65" applyFont="1" applyBorder="1" applyAlignment="1">
      <alignment horizontal="center" vertical="center" wrapText="1"/>
      <protection/>
    </xf>
    <xf numFmtId="0" fontId="37" fillId="0" borderId="10" xfId="65" applyFont="1" applyBorder="1" applyAlignment="1">
      <alignment horizontal="center" vertical="center"/>
      <protection/>
    </xf>
    <xf numFmtId="0" fontId="37" fillId="0" borderId="11" xfId="65" applyFont="1" applyBorder="1" applyAlignment="1">
      <alignment horizontal="center" vertical="center"/>
      <protection/>
    </xf>
    <xf numFmtId="0" fontId="37" fillId="0" borderId="17" xfId="65" applyFont="1" applyBorder="1" applyAlignment="1">
      <alignment horizontal="center" vertical="center"/>
      <protection/>
    </xf>
    <xf numFmtId="0" fontId="37" fillId="0" borderId="21" xfId="65" applyFont="1" applyBorder="1" applyAlignment="1">
      <alignment horizontal="center" vertical="center"/>
      <protection/>
    </xf>
    <xf numFmtId="0" fontId="37" fillId="0" borderId="41" xfId="65" applyFont="1" applyBorder="1" applyAlignment="1">
      <alignment horizontal="center" vertical="center"/>
      <protection/>
    </xf>
    <xf numFmtId="0" fontId="37" fillId="0" borderId="49" xfId="65" applyFont="1" applyBorder="1" applyAlignment="1">
      <alignment horizontal="center" vertical="center"/>
      <protection/>
    </xf>
    <xf numFmtId="0" fontId="37" fillId="0" borderId="23" xfId="65" applyFont="1" applyBorder="1" applyAlignment="1">
      <alignment horizontal="center" vertical="center"/>
      <protection/>
    </xf>
    <xf numFmtId="0" fontId="37" fillId="0" borderId="25" xfId="65" applyFont="1" applyBorder="1" applyAlignment="1">
      <alignment horizontal="center" vertical="center"/>
      <protection/>
    </xf>
    <xf numFmtId="0" fontId="37" fillId="0" borderId="10" xfId="65" applyFont="1" applyBorder="1" applyAlignment="1">
      <alignment horizontal="center" vertical="center" wrapText="1"/>
      <protection/>
    </xf>
    <xf numFmtId="0" fontId="37" fillId="0" borderId="11" xfId="65" applyFont="1" applyBorder="1" applyAlignment="1">
      <alignment horizontal="center" vertical="center" wrapText="1"/>
      <protection/>
    </xf>
    <xf numFmtId="0" fontId="36" fillId="0" borderId="22" xfId="64" applyFont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8" fillId="0" borderId="48" xfId="64" applyFont="1" applyBorder="1" applyAlignment="1">
      <alignment horizontal="center" vertical="center"/>
      <protection/>
    </xf>
    <xf numFmtId="0" fontId="46" fillId="0" borderId="4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3" fontId="56" fillId="0" borderId="22" xfId="0" applyNumberFormat="1" applyFont="1" applyBorder="1" applyAlignment="1">
      <alignment horizontal="center" vertical="center" wrapText="1"/>
    </xf>
    <xf numFmtId="43" fontId="56" fillId="0" borderId="11" xfId="0" applyNumberFormat="1" applyFont="1" applyBorder="1" applyAlignment="1">
      <alignment horizontal="center" vertical="center" wrapText="1"/>
    </xf>
    <xf numFmtId="0" fontId="57" fillId="0" borderId="28" xfId="64" applyFont="1" applyBorder="1" applyAlignment="1">
      <alignment horizontal="center" vertical="center"/>
      <protection/>
    </xf>
    <xf numFmtId="0" fontId="57" fillId="0" borderId="4" xfId="64" applyFont="1" applyBorder="1" applyAlignment="1">
      <alignment horizontal="center" vertical="center"/>
      <protection/>
    </xf>
    <xf numFmtId="0" fontId="57" fillId="0" borderId="29" xfId="64" applyFont="1" applyBorder="1" applyAlignment="1">
      <alignment horizontal="center" vertical="center"/>
      <protection/>
    </xf>
    <xf numFmtId="0" fontId="56" fillId="0" borderId="28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8" fillId="0" borderId="48" xfId="64" applyFont="1" applyBorder="1" applyAlignment="1">
      <alignment horizontal="center" vertical="center" wrapText="1"/>
      <protection/>
    </xf>
    <xf numFmtId="0" fontId="37" fillId="0" borderId="17" xfId="64" applyFont="1" applyBorder="1" applyAlignment="1">
      <alignment horizontal="center" vertical="center"/>
      <protection/>
    </xf>
    <xf numFmtId="0" fontId="37" fillId="0" borderId="16" xfId="64" applyFont="1" applyBorder="1" applyAlignment="1">
      <alignment horizontal="center" vertical="center"/>
      <protection/>
    </xf>
    <xf numFmtId="0" fontId="37" fillId="0" borderId="21" xfId="64" applyFont="1" applyBorder="1" applyAlignment="1">
      <alignment horizontal="center" vertical="center"/>
      <protection/>
    </xf>
    <xf numFmtId="0" fontId="37" fillId="0" borderId="41" xfId="64" applyFont="1" applyBorder="1" applyAlignment="1">
      <alignment horizontal="center" vertical="center"/>
      <protection/>
    </xf>
    <xf numFmtId="0" fontId="37" fillId="0" borderId="0" xfId="64" applyFont="1" applyBorder="1" applyAlignment="1">
      <alignment horizontal="center" vertical="center"/>
      <protection/>
    </xf>
    <xf numFmtId="0" fontId="37" fillId="0" borderId="49" xfId="64" applyFont="1" applyBorder="1" applyAlignment="1">
      <alignment horizontal="center" vertical="center"/>
      <protection/>
    </xf>
    <xf numFmtId="0" fontId="37" fillId="0" borderId="23" xfId="64" applyFont="1" applyBorder="1" applyAlignment="1">
      <alignment horizontal="center" vertical="center"/>
      <protection/>
    </xf>
    <xf numFmtId="0" fontId="37" fillId="0" borderId="24" xfId="64" applyFont="1" applyBorder="1" applyAlignment="1">
      <alignment horizontal="center" vertical="center"/>
      <protection/>
    </xf>
    <xf numFmtId="0" fontId="37" fillId="0" borderId="25" xfId="64" applyFont="1" applyBorder="1" applyAlignment="1">
      <alignment horizontal="center" vertical="center"/>
      <protection/>
    </xf>
    <xf numFmtId="3" fontId="30" fillId="0" borderId="12" xfId="64" applyNumberFormat="1" applyFont="1" applyBorder="1" applyAlignment="1">
      <alignment horizontal="center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M01-00MT-RB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DM01-00MT-RB" xfId="64"/>
    <cellStyle name="Normal_DM-MUA VN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똿뗦먛귟 [0.00]_PRODUCT DETAIL Q1" xfId="72"/>
    <cellStyle name="똿뗦먛귟_PRODUCT DETAIL Q1" xfId="73"/>
    <cellStyle name="믅됞 [0.00]_PRODUCT DETAIL Q1" xfId="74"/>
    <cellStyle name="믅됞_PRODUCT DETAIL Q1" xfId="75"/>
    <cellStyle name="백분율_HOBONG" xfId="76"/>
    <cellStyle name="뷭?_BOOKSHIP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  <cellStyle name="표준_kc-elec system check list" xfId="83"/>
    <cellStyle name="一般_po130218.3.8" xfId="84"/>
    <cellStyle name="千位分隔[0]_Sheet1" xfId="85"/>
    <cellStyle name="常规_Sheet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nh%20muc%202%20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9"/>
      <sheetName val="13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="85" zoomScaleNormal="85" workbookViewId="0" topLeftCell="A3">
      <selection activeCell="A4" sqref="A4"/>
    </sheetView>
  </sheetViews>
  <sheetFormatPr defaultColWidth="8.796875" defaultRowHeight="15"/>
  <cols>
    <col min="1" max="1" width="3.19921875" style="4" customWidth="1"/>
    <col min="2" max="2" width="17.59765625" style="4" customWidth="1"/>
    <col min="3" max="3" width="17.09765625" style="4" customWidth="1"/>
    <col min="4" max="4" width="4.69921875" style="4" customWidth="1"/>
    <col min="5" max="5" width="5.5" style="4" customWidth="1"/>
    <col min="6" max="12" width="6.59765625" style="4" customWidth="1"/>
    <col min="13" max="13" width="9.5" style="4" customWidth="1"/>
    <col min="14" max="14" width="5.69921875" style="4" customWidth="1"/>
    <col min="15" max="15" width="12.19921875" style="4" customWidth="1"/>
    <col min="16" max="16" width="8.09765625" style="4" customWidth="1"/>
    <col min="17" max="17" width="7.19921875" style="4" customWidth="1"/>
    <col min="18" max="18" width="8" style="4" customWidth="1"/>
    <col min="19" max="19" width="10.5" style="4" customWidth="1"/>
    <col min="20" max="16384" width="8" style="4" customWidth="1"/>
  </cols>
  <sheetData>
    <row r="1" spans="1:20" ht="24.75" customHeight="1">
      <c r="A1" s="1">
        <v>1</v>
      </c>
      <c r="B1" s="1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s="5" customFormat="1" ht="14.25" customHeight="1">
      <c r="A2" s="4"/>
      <c r="B2" s="147"/>
      <c r="C2" s="14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/>
      <c r="Q2" s="148" t="s">
        <v>0</v>
      </c>
      <c r="R2" s="4"/>
      <c r="S2" s="4"/>
      <c r="T2" s="4"/>
    </row>
    <row r="3" spans="1:20" s="5" customFormat="1" ht="16.5" customHeight="1">
      <c r="A3" s="149" t="s">
        <v>225</v>
      </c>
      <c r="B3" s="150"/>
      <c r="C3" s="150"/>
      <c r="D3" s="149" t="s">
        <v>1</v>
      </c>
      <c r="E3" s="151"/>
      <c r="F3" s="151"/>
      <c r="G3" s="151"/>
      <c r="H3" s="151"/>
      <c r="I3" s="151"/>
      <c r="J3" s="151"/>
      <c r="K3" s="151"/>
      <c r="L3" s="151"/>
      <c r="M3" s="151"/>
      <c r="N3" s="149" t="s">
        <v>2</v>
      </c>
      <c r="O3" s="4"/>
      <c r="P3" s="4"/>
      <c r="Q3" s="152"/>
      <c r="R3" s="4"/>
      <c r="S3" s="4"/>
      <c r="T3" s="4"/>
    </row>
    <row r="4" spans="1:20" s="5" customFormat="1" ht="15.75" customHeight="1">
      <c r="A4" s="149" t="s">
        <v>3</v>
      </c>
      <c r="B4" s="150"/>
      <c r="C4" s="15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2"/>
      <c r="R4" s="4"/>
      <c r="S4" s="4"/>
      <c r="T4" s="4"/>
    </row>
    <row r="5" spans="1:20" s="5" customFormat="1" ht="15.75" customHeight="1">
      <c r="A5" s="149" t="s">
        <v>201</v>
      </c>
      <c r="B5" s="150"/>
      <c r="C5" s="150"/>
      <c r="E5" s="168" t="s">
        <v>4</v>
      </c>
      <c r="F5" s="4"/>
      <c r="G5" s="4"/>
      <c r="H5" s="4"/>
      <c r="I5" s="4"/>
      <c r="J5" s="4"/>
      <c r="K5" s="4"/>
      <c r="L5" s="4"/>
      <c r="M5" s="151"/>
      <c r="N5" s="154"/>
      <c r="O5" s="4"/>
      <c r="P5" s="4"/>
      <c r="R5" s="4"/>
      <c r="S5" s="4"/>
      <c r="T5" s="4"/>
    </row>
    <row r="6" spans="1:20" s="5" customFormat="1" ht="15.75" customHeight="1">
      <c r="A6" s="149" t="s">
        <v>202</v>
      </c>
      <c r="B6" s="150"/>
      <c r="C6" s="150"/>
      <c r="D6" s="153"/>
      <c r="E6" s="4"/>
      <c r="F6" s="4"/>
      <c r="G6" s="4"/>
      <c r="H6" s="4"/>
      <c r="I6" s="4"/>
      <c r="J6" s="4"/>
      <c r="K6" s="4"/>
      <c r="L6" s="4"/>
      <c r="M6" s="151"/>
      <c r="N6" s="154"/>
      <c r="O6" s="4"/>
      <c r="P6" s="4"/>
      <c r="Q6" s="155"/>
      <c r="R6" s="4"/>
      <c r="S6" s="4"/>
      <c r="T6" s="4"/>
    </row>
    <row r="7" spans="1:20" s="5" customFormat="1" ht="15.75" customHeight="1">
      <c r="A7" s="156" t="s">
        <v>5</v>
      </c>
      <c r="B7" s="150"/>
      <c r="C7" s="150"/>
      <c r="D7" s="153"/>
      <c r="E7" s="4"/>
      <c r="F7" s="4"/>
      <c r="G7" s="4"/>
      <c r="H7" s="4"/>
      <c r="I7" s="4"/>
      <c r="J7" s="4"/>
      <c r="K7" s="4"/>
      <c r="L7" s="4"/>
      <c r="M7" s="4"/>
      <c r="N7" s="154"/>
      <c r="O7" s="4"/>
      <c r="P7" s="4"/>
      <c r="Q7" s="152"/>
      <c r="R7" s="4"/>
      <c r="S7" s="4"/>
      <c r="T7" s="4"/>
    </row>
    <row r="8" spans="1:20" s="5" customFormat="1" ht="15.75" customHeight="1">
      <c r="A8" s="149" t="s">
        <v>198</v>
      </c>
      <c r="B8" s="150"/>
      <c r="C8" s="150"/>
      <c r="D8" s="153"/>
      <c r="E8" s="151"/>
      <c r="F8" s="151"/>
      <c r="G8" s="151"/>
      <c r="H8" s="151"/>
      <c r="I8" s="151"/>
      <c r="J8" s="151"/>
      <c r="K8" s="151"/>
      <c r="L8" s="151"/>
      <c r="M8" s="151"/>
      <c r="N8" s="154"/>
      <c r="O8" s="4"/>
      <c r="P8" s="4"/>
      <c r="Q8" s="152"/>
      <c r="R8" s="4"/>
      <c r="S8" s="4"/>
      <c r="T8" s="4"/>
    </row>
    <row r="9" spans="1:20" s="5" customFormat="1" ht="20.25" customHeight="1">
      <c r="A9" s="157" t="s">
        <v>178</v>
      </c>
      <c r="B9" s="158"/>
      <c r="C9" s="158" t="str">
        <f>'DANH MUC NPL'!G9</f>
        <v>IC7J-108T</v>
      </c>
      <c r="D9" s="159"/>
      <c r="E9" s="160"/>
      <c r="F9" s="160"/>
      <c r="G9" s="160"/>
      <c r="H9" s="160"/>
      <c r="I9" s="160"/>
      <c r="J9" s="160"/>
      <c r="K9" s="160"/>
      <c r="L9" s="160"/>
      <c r="M9" s="160"/>
      <c r="N9" s="161" t="s">
        <v>6</v>
      </c>
      <c r="O9" s="162">
        <f>'DANH MUC NPL'!G10</f>
        <v>3600</v>
      </c>
      <c r="P9" s="142" t="s">
        <v>7</v>
      </c>
      <c r="Q9" s="157"/>
      <c r="R9" s="4"/>
      <c r="S9" s="4"/>
      <c r="T9" s="4"/>
    </row>
    <row r="10" spans="1:20" s="5" customFormat="1" ht="15" customHeight="1">
      <c r="A10" s="353" t="s">
        <v>8</v>
      </c>
      <c r="B10" s="357" t="s">
        <v>9</v>
      </c>
      <c r="C10" s="358"/>
      <c r="D10" s="356" t="s">
        <v>10</v>
      </c>
      <c r="E10" s="343" t="s">
        <v>11</v>
      </c>
      <c r="F10" s="334" t="s">
        <v>194</v>
      </c>
      <c r="G10" s="335"/>
      <c r="H10" s="335"/>
      <c r="I10" s="335"/>
      <c r="J10" s="335"/>
      <c r="K10" s="335"/>
      <c r="L10" s="336"/>
      <c r="M10" s="337" t="s">
        <v>12</v>
      </c>
      <c r="N10" s="352"/>
      <c r="O10" s="352"/>
      <c r="P10" s="347" t="s">
        <v>13</v>
      </c>
      <c r="Q10" s="347" t="s">
        <v>14</v>
      </c>
      <c r="R10" s="4"/>
      <c r="S10" s="4"/>
      <c r="T10" s="4"/>
    </row>
    <row r="11" spans="1:20" s="5" customFormat="1" ht="15" customHeight="1">
      <c r="A11" s="354"/>
      <c r="B11" s="357"/>
      <c r="C11" s="358"/>
      <c r="D11" s="344"/>
      <c r="E11" s="344"/>
      <c r="F11" s="248">
        <v>1</v>
      </c>
      <c r="G11" s="248">
        <v>3</v>
      </c>
      <c r="H11" s="248">
        <v>5</v>
      </c>
      <c r="I11" s="249">
        <v>7</v>
      </c>
      <c r="J11" s="248">
        <v>9</v>
      </c>
      <c r="K11" s="248">
        <v>11</v>
      </c>
      <c r="L11" s="248">
        <v>13</v>
      </c>
      <c r="M11" s="348" t="s">
        <v>214</v>
      </c>
      <c r="N11" s="350" t="s">
        <v>200</v>
      </c>
      <c r="O11" s="345" t="s">
        <v>195</v>
      </c>
      <c r="P11" s="347"/>
      <c r="Q11" s="347"/>
      <c r="R11" s="4"/>
      <c r="S11" s="4"/>
      <c r="T11" s="4"/>
    </row>
    <row r="12" spans="1:20" s="5" customFormat="1" ht="15" customHeight="1">
      <c r="A12" s="355"/>
      <c r="B12" s="357"/>
      <c r="C12" s="358"/>
      <c r="D12" s="344"/>
      <c r="E12" s="344"/>
      <c r="F12" s="172">
        <v>300</v>
      </c>
      <c r="G12" s="172">
        <v>600</v>
      </c>
      <c r="H12" s="172">
        <v>600</v>
      </c>
      <c r="I12" s="217">
        <v>600</v>
      </c>
      <c r="J12" s="172">
        <v>600</v>
      </c>
      <c r="K12" s="172">
        <v>600</v>
      </c>
      <c r="L12" s="172">
        <v>300</v>
      </c>
      <c r="M12" s="349"/>
      <c r="N12" s="351"/>
      <c r="O12" s="346"/>
      <c r="P12" s="347"/>
      <c r="Q12" s="347"/>
      <c r="R12" s="4"/>
      <c r="S12" s="4"/>
      <c r="T12" s="4"/>
    </row>
    <row r="13" spans="1:20" s="5" customFormat="1" ht="18.75" customHeight="1">
      <c r="A13" s="163">
        <v>1</v>
      </c>
      <c r="B13" s="110" t="s">
        <v>22</v>
      </c>
      <c r="C13" s="187"/>
      <c r="D13" s="164" t="s">
        <v>23</v>
      </c>
      <c r="E13" s="163" t="s">
        <v>164</v>
      </c>
      <c r="F13" s="211">
        <f>I13*0.97</f>
        <v>1.2862200000000001</v>
      </c>
      <c r="G13" s="211">
        <f>I13*0.98</f>
        <v>1.29948</v>
      </c>
      <c r="H13" s="211">
        <f>I13*0.99</f>
        <v>1.31274</v>
      </c>
      <c r="I13" s="211">
        <v>1.326</v>
      </c>
      <c r="J13" s="211">
        <f>I13*1.01</f>
        <v>1.3392600000000001</v>
      </c>
      <c r="K13" s="211">
        <f>I13*1.02</f>
        <v>1.3525200000000002</v>
      </c>
      <c r="L13" s="211">
        <f>I13*1.03</f>
        <v>1.36578</v>
      </c>
      <c r="M13" s="211">
        <v>1.326</v>
      </c>
      <c r="N13" s="173">
        <v>0.03</v>
      </c>
      <c r="O13" s="146">
        <f>M13*1.03*$O$9</f>
        <v>4916.808</v>
      </c>
      <c r="P13" s="174" t="s">
        <v>19</v>
      </c>
      <c r="Q13" s="175"/>
      <c r="R13" s="4"/>
      <c r="S13" s="215">
        <f>(F13*$F$12+G13*$G$12+H13*$H$12+I13*$I$12+J13*$J$12+K13*$K$12+L13*$L$12)/$O$9</f>
        <v>1.326</v>
      </c>
      <c r="T13" s="4"/>
    </row>
    <row r="14" spans="1:20" s="5" customFormat="1" ht="14.25" customHeight="1">
      <c r="A14" s="163">
        <v>2</v>
      </c>
      <c r="B14" s="32" t="s">
        <v>48</v>
      </c>
      <c r="C14" s="188"/>
      <c r="D14" s="164" t="s">
        <v>49</v>
      </c>
      <c r="E14" s="114" t="s">
        <v>165</v>
      </c>
      <c r="F14" s="211">
        <f>I14*0.97</f>
        <v>241.07700999999997</v>
      </c>
      <c r="G14" s="211">
        <f>I14*0.98</f>
        <v>243.56233999999998</v>
      </c>
      <c r="H14" s="211">
        <f>I14*0.99</f>
        <v>246.04766999999998</v>
      </c>
      <c r="I14" s="211">
        <v>248.533</v>
      </c>
      <c r="J14" s="211">
        <f>I14*1.01</f>
        <v>251.01833</v>
      </c>
      <c r="K14" s="211">
        <f>I14*1.02</f>
        <v>253.50366</v>
      </c>
      <c r="L14" s="211">
        <f>I14*1.03</f>
        <v>255.98899</v>
      </c>
      <c r="M14" s="262">
        <v>248.533005</v>
      </c>
      <c r="N14" s="173">
        <v>0.03</v>
      </c>
      <c r="O14" s="146">
        <f aca="true" t="shared" si="0" ref="O14:O22">M14*1.03*$O$9</f>
        <v>921560.3825400001</v>
      </c>
      <c r="P14" s="176" t="s">
        <v>172</v>
      </c>
      <c r="Q14" s="175"/>
      <c r="R14" s="4"/>
      <c r="S14" s="216">
        <f>(F14*$F$12+G14*$G$12+H14*$H$12+I14*$I$12+J14*$J$12+K14*$K$12+L14*$L$12)/$O$9</f>
        <v>248.533</v>
      </c>
      <c r="T14" s="4"/>
    </row>
    <row r="15" spans="1:20" s="5" customFormat="1" ht="14.25" customHeight="1">
      <c r="A15" s="163">
        <v>3</v>
      </c>
      <c r="B15" s="32" t="s">
        <v>50</v>
      </c>
      <c r="C15" s="188"/>
      <c r="D15" s="164" t="s">
        <v>51</v>
      </c>
      <c r="E15" s="114" t="s">
        <v>167</v>
      </c>
      <c r="F15" s="177">
        <v>1</v>
      </c>
      <c r="G15" s="177">
        <v>1</v>
      </c>
      <c r="H15" s="177">
        <v>1</v>
      </c>
      <c r="I15" s="177">
        <v>1</v>
      </c>
      <c r="J15" s="177">
        <v>1</v>
      </c>
      <c r="K15" s="177">
        <v>1</v>
      </c>
      <c r="L15" s="177">
        <v>1</v>
      </c>
      <c r="M15" s="253">
        <v>1</v>
      </c>
      <c r="N15" s="173">
        <v>0.03</v>
      </c>
      <c r="O15" s="28">
        <f t="shared" si="0"/>
        <v>3708</v>
      </c>
      <c r="P15" s="174" t="s">
        <v>19</v>
      </c>
      <c r="Q15" s="175"/>
      <c r="R15" s="4"/>
      <c r="S15" s="4"/>
      <c r="T15" s="4"/>
    </row>
    <row r="16" spans="1:20" s="5" customFormat="1" ht="14.25" customHeight="1">
      <c r="A16" s="163">
        <v>4</v>
      </c>
      <c r="B16" s="32" t="s">
        <v>65</v>
      </c>
      <c r="C16" s="188"/>
      <c r="D16" s="164" t="s">
        <v>66</v>
      </c>
      <c r="E16" s="114" t="s">
        <v>167</v>
      </c>
      <c r="F16" s="177">
        <v>2</v>
      </c>
      <c r="G16" s="177">
        <v>2</v>
      </c>
      <c r="H16" s="177">
        <v>2</v>
      </c>
      <c r="I16" s="177">
        <v>2</v>
      </c>
      <c r="J16" s="177">
        <v>2</v>
      </c>
      <c r="K16" s="177">
        <v>2</v>
      </c>
      <c r="L16" s="177">
        <v>2</v>
      </c>
      <c r="M16" s="253">
        <f>'DANH MUC NPL'!G35</f>
        <v>2</v>
      </c>
      <c r="N16" s="173">
        <v>0.03</v>
      </c>
      <c r="O16" s="28">
        <f t="shared" si="0"/>
        <v>7416</v>
      </c>
      <c r="P16" s="174" t="s">
        <v>19</v>
      </c>
      <c r="Q16" s="178"/>
      <c r="R16" s="4"/>
      <c r="S16" s="4"/>
      <c r="T16" s="4"/>
    </row>
    <row r="17" spans="1:20" s="5" customFormat="1" ht="14.25" customHeight="1">
      <c r="A17" s="163">
        <v>5</v>
      </c>
      <c r="B17" s="32" t="s">
        <v>75</v>
      </c>
      <c r="C17" s="188"/>
      <c r="D17" s="164" t="s">
        <v>76</v>
      </c>
      <c r="E17" s="114" t="s">
        <v>167</v>
      </c>
      <c r="F17" s="177">
        <v>1</v>
      </c>
      <c r="G17" s="177">
        <v>1</v>
      </c>
      <c r="H17" s="177">
        <v>1</v>
      </c>
      <c r="I17" s="177">
        <v>1</v>
      </c>
      <c r="J17" s="177">
        <v>1</v>
      </c>
      <c r="K17" s="177">
        <v>1</v>
      </c>
      <c r="L17" s="177">
        <v>1</v>
      </c>
      <c r="M17" s="253">
        <f>'DANH MUC NPL'!G40</f>
        <v>1</v>
      </c>
      <c r="N17" s="173">
        <v>0.03</v>
      </c>
      <c r="O17" s="28">
        <f t="shared" si="0"/>
        <v>3708</v>
      </c>
      <c r="P17" s="174" t="s">
        <v>19</v>
      </c>
      <c r="Q17" s="178"/>
      <c r="R17" s="4"/>
      <c r="S17" s="4"/>
      <c r="T17" s="4"/>
    </row>
    <row r="18" spans="1:20" s="5" customFormat="1" ht="14.25" customHeight="1">
      <c r="A18" s="163">
        <v>6</v>
      </c>
      <c r="B18" s="32" t="s">
        <v>77</v>
      </c>
      <c r="C18" s="188"/>
      <c r="D18" s="164" t="s">
        <v>78</v>
      </c>
      <c r="E18" s="114" t="s">
        <v>167</v>
      </c>
      <c r="F18" s="177">
        <v>2</v>
      </c>
      <c r="G18" s="177">
        <v>2</v>
      </c>
      <c r="H18" s="177">
        <v>2</v>
      </c>
      <c r="I18" s="177">
        <v>2</v>
      </c>
      <c r="J18" s="177">
        <v>2</v>
      </c>
      <c r="K18" s="177">
        <v>2</v>
      </c>
      <c r="L18" s="177">
        <v>2</v>
      </c>
      <c r="M18" s="253">
        <f>'DANH MUC NPL'!G41</f>
        <v>2</v>
      </c>
      <c r="N18" s="173">
        <v>0.03</v>
      </c>
      <c r="O18" s="28">
        <f t="shared" si="0"/>
        <v>7416</v>
      </c>
      <c r="P18" s="174" t="s">
        <v>19</v>
      </c>
      <c r="Q18" s="178"/>
      <c r="R18" s="4"/>
      <c r="S18" s="4"/>
      <c r="T18" s="4"/>
    </row>
    <row r="19" spans="1:20" s="5" customFormat="1" ht="14.25" customHeight="1">
      <c r="A19" s="163">
        <v>7</v>
      </c>
      <c r="B19" s="32" t="s">
        <v>87</v>
      </c>
      <c r="C19" s="188"/>
      <c r="D19" s="164" t="s">
        <v>88</v>
      </c>
      <c r="E19" s="114" t="s">
        <v>167</v>
      </c>
      <c r="F19" s="177">
        <v>1</v>
      </c>
      <c r="G19" s="177">
        <v>1</v>
      </c>
      <c r="H19" s="177">
        <v>1</v>
      </c>
      <c r="I19" s="177">
        <v>1</v>
      </c>
      <c r="J19" s="177">
        <v>1</v>
      </c>
      <c r="K19" s="177">
        <v>1</v>
      </c>
      <c r="L19" s="177">
        <v>1</v>
      </c>
      <c r="M19" s="253">
        <f>'DANH MUC NPL'!G46</f>
        <v>1</v>
      </c>
      <c r="N19" s="173">
        <v>0.03</v>
      </c>
      <c r="O19" s="28">
        <f t="shared" si="0"/>
        <v>3708</v>
      </c>
      <c r="P19" s="176" t="s">
        <v>172</v>
      </c>
      <c r="Q19" s="178"/>
      <c r="R19" s="4"/>
      <c r="S19" s="4"/>
      <c r="T19" s="4"/>
    </row>
    <row r="20" spans="1:20" s="5" customFormat="1" ht="14.25" customHeight="1">
      <c r="A20" s="163">
        <v>8</v>
      </c>
      <c r="B20" s="32" t="s">
        <v>89</v>
      </c>
      <c r="C20" s="188"/>
      <c r="D20" s="164" t="s">
        <v>90</v>
      </c>
      <c r="E20" s="114" t="s">
        <v>167</v>
      </c>
      <c r="F20" s="177">
        <v>1</v>
      </c>
      <c r="G20" s="177">
        <v>1</v>
      </c>
      <c r="H20" s="177">
        <v>1</v>
      </c>
      <c r="I20" s="177">
        <v>1</v>
      </c>
      <c r="J20" s="177">
        <v>1</v>
      </c>
      <c r="K20" s="177">
        <v>1</v>
      </c>
      <c r="L20" s="177">
        <v>1</v>
      </c>
      <c r="M20" s="253">
        <f>'DANH MUC NPL'!G47</f>
        <v>1</v>
      </c>
      <c r="N20" s="173">
        <v>0.03</v>
      </c>
      <c r="O20" s="28">
        <f t="shared" si="0"/>
        <v>3708</v>
      </c>
      <c r="P20" s="176" t="s">
        <v>172</v>
      </c>
      <c r="Q20" s="178"/>
      <c r="R20" s="4"/>
      <c r="S20" s="4"/>
      <c r="T20" s="4"/>
    </row>
    <row r="21" spans="1:20" s="5" customFormat="1" ht="14.25" customHeight="1">
      <c r="A21" s="163">
        <v>9</v>
      </c>
      <c r="B21" s="32" t="s">
        <v>99</v>
      </c>
      <c r="C21" s="188"/>
      <c r="D21" s="164" t="s">
        <v>100</v>
      </c>
      <c r="E21" s="114" t="s">
        <v>167</v>
      </c>
      <c r="F21" s="177">
        <v>0.084</v>
      </c>
      <c r="G21" s="177">
        <v>0.084</v>
      </c>
      <c r="H21" s="177">
        <v>0.084</v>
      </c>
      <c r="I21" s="177">
        <v>0.084</v>
      </c>
      <c r="J21" s="177">
        <v>0.084</v>
      </c>
      <c r="K21" s="177">
        <v>0.084</v>
      </c>
      <c r="L21" s="177">
        <v>0.084</v>
      </c>
      <c r="M21" s="254">
        <f>'DANH MUC NPL'!G52</f>
        <v>0.084</v>
      </c>
      <c r="N21" s="173">
        <v>0.03</v>
      </c>
      <c r="O21" s="28">
        <f t="shared" si="0"/>
        <v>311.47200000000004</v>
      </c>
      <c r="P21" s="176" t="s">
        <v>172</v>
      </c>
      <c r="Q21" s="178"/>
      <c r="R21" s="4"/>
      <c r="S21" s="4"/>
      <c r="T21" s="4"/>
    </row>
    <row r="22" spans="1:20" s="5" customFormat="1" ht="14.25" customHeight="1">
      <c r="A22" s="163">
        <v>10</v>
      </c>
      <c r="B22" s="189" t="s">
        <v>109</v>
      </c>
      <c r="C22" s="190"/>
      <c r="D22" s="165" t="s">
        <v>110</v>
      </c>
      <c r="E22" s="163" t="s">
        <v>167</v>
      </c>
      <c r="F22" s="179">
        <v>1</v>
      </c>
      <c r="G22" s="179">
        <v>1</v>
      </c>
      <c r="H22" s="179">
        <v>1</v>
      </c>
      <c r="I22" s="179">
        <v>1</v>
      </c>
      <c r="J22" s="179">
        <v>1</v>
      </c>
      <c r="K22" s="179">
        <v>1</v>
      </c>
      <c r="L22" s="179">
        <v>1</v>
      </c>
      <c r="M22" s="253">
        <f>'DANH MUC NPL'!G57</f>
        <v>1</v>
      </c>
      <c r="N22" s="180">
        <v>0.03</v>
      </c>
      <c r="O22" s="28">
        <f t="shared" si="0"/>
        <v>3708</v>
      </c>
      <c r="P22" s="174" t="s">
        <v>19</v>
      </c>
      <c r="Q22" s="178"/>
      <c r="R22" s="4"/>
      <c r="S22" s="4"/>
      <c r="T22" s="4"/>
    </row>
    <row r="23" spans="1:17" ht="17.2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2:6" ht="14.25" customHeight="1">
      <c r="B24" s="194" t="s">
        <v>206</v>
      </c>
      <c r="C24" s="142" t="s">
        <v>182</v>
      </c>
      <c r="D24" s="192"/>
      <c r="E24" s="192"/>
      <c r="F24" s="192"/>
    </row>
    <row r="25" spans="2:6" ht="13.5" customHeight="1">
      <c r="B25" s="191" t="s">
        <v>203</v>
      </c>
      <c r="C25" s="143" t="s">
        <v>207</v>
      </c>
      <c r="D25" s="193"/>
      <c r="E25" s="193"/>
      <c r="F25" s="192"/>
    </row>
    <row r="26" spans="2:3" ht="13.5" customHeight="1">
      <c r="B26" s="191" t="s">
        <v>204</v>
      </c>
      <c r="C26" s="171" t="s">
        <v>208</v>
      </c>
    </row>
    <row r="27" spans="2:3" ht="13.5" customHeight="1">
      <c r="B27" s="191" t="s">
        <v>205</v>
      </c>
      <c r="C27" s="171" t="s">
        <v>209</v>
      </c>
    </row>
    <row r="28" spans="1:20" ht="16.5" customHeight="1">
      <c r="A28" s="149" t="s">
        <v>112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66"/>
      <c r="N28" s="167"/>
      <c r="O28" s="149"/>
      <c r="P28" s="149"/>
      <c r="Q28" s="149"/>
      <c r="R28" s="149"/>
      <c r="S28" s="149"/>
      <c r="T28" s="149"/>
    </row>
    <row r="29" spans="1:17" ht="23.25" customHeight="1">
      <c r="A29" s="149"/>
      <c r="B29" s="168" t="s">
        <v>113</v>
      </c>
      <c r="C29" s="169"/>
      <c r="D29" s="149"/>
      <c r="E29" s="149"/>
      <c r="F29" s="149"/>
      <c r="G29" s="149"/>
      <c r="H29" s="149"/>
      <c r="I29" s="149"/>
      <c r="J29" s="149"/>
      <c r="K29" s="149"/>
      <c r="L29" s="149"/>
      <c r="M29" s="170"/>
      <c r="N29" s="167"/>
      <c r="O29" s="169" t="s">
        <v>113</v>
      </c>
      <c r="P29" s="169"/>
      <c r="Q29" s="169"/>
    </row>
    <row r="30" spans="1:17" ht="14.25">
      <c r="A30" s="149"/>
      <c r="B30" s="168" t="s">
        <v>114</v>
      </c>
      <c r="C30" s="169"/>
      <c r="D30" s="149"/>
      <c r="E30" s="149"/>
      <c r="F30" s="149"/>
      <c r="G30" s="149"/>
      <c r="H30" s="149"/>
      <c r="I30" s="149"/>
      <c r="J30" s="149"/>
      <c r="K30" s="149"/>
      <c r="L30" s="149"/>
      <c r="M30" s="166"/>
      <c r="N30" s="167"/>
      <c r="O30" s="169" t="s">
        <v>115</v>
      </c>
      <c r="P30" s="169"/>
      <c r="Q30" s="169"/>
    </row>
    <row r="31" spans="1:17" ht="14.25">
      <c r="A31" s="149"/>
      <c r="B31" s="149" t="s">
        <v>116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66"/>
      <c r="N31" s="167"/>
      <c r="O31" s="169" t="s">
        <v>117</v>
      </c>
      <c r="P31" s="169"/>
      <c r="Q31" s="169"/>
    </row>
    <row r="32" spans="1:20" ht="14.25">
      <c r="A32" s="149"/>
      <c r="B32" s="169"/>
      <c r="C32" s="169"/>
      <c r="D32" s="149"/>
      <c r="E32" s="149"/>
      <c r="F32" s="149"/>
      <c r="G32" s="149"/>
      <c r="H32" s="149"/>
      <c r="I32" s="149"/>
      <c r="J32" s="149"/>
      <c r="K32" s="149"/>
      <c r="L32" s="149"/>
      <c r="M32" s="166"/>
      <c r="N32" s="167"/>
      <c r="O32" s="149"/>
      <c r="P32" s="149"/>
      <c r="Q32" s="149"/>
      <c r="R32" s="149"/>
      <c r="S32" s="149"/>
      <c r="T32" s="169"/>
    </row>
    <row r="33" spans="1:20" ht="14.2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66"/>
      <c r="N33" s="167"/>
      <c r="O33" s="149"/>
      <c r="P33" s="149"/>
      <c r="Q33" s="169"/>
      <c r="R33" s="169"/>
      <c r="S33" s="169"/>
      <c r="T33" s="169"/>
    </row>
    <row r="34" spans="1:20" ht="14.2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66"/>
      <c r="N34" s="169"/>
      <c r="O34" s="167"/>
      <c r="P34" s="149"/>
      <c r="Q34" s="149"/>
      <c r="R34" s="149"/>
      <c r="S34" s="149"/>
      <c r="T34" s="149"/>
    </row>
    <row r="35" spans="1:20" ht="12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66"/>
      <c r="N35" s="167"/>
      <c r="O35" s="149"/>
      <c r="P35" s="149"/>
      <c r="Q35" s="149"/>
      <c r="R35" s="149"/>
      <c r="S35" s="149"/>
      <c r="T35" s="149"/>
    </row>
    <row r="36" spans="1:20" ht="14.2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66"/>
      <c r="N36" s="167"/>
      <c r="O36" s="149"/>
      <c r="P36" s="149"/>
      <c r="Q36" s="342"/>
      <c r="R36" s="342"/>
      <c r="S36" s="342"/>
      <c r="T36" s="342"/>
    </row>
  </sheetData>
  <mergeCells count="12">
    <mergeCell ref="A10:A12"/>
    <mergeCell ref="D10:D12"/>
    <mergeCell ref="B10:C12"/>
    <mergeCell ref="Q36:T36"/>
    <mergeCell ref="E10:E12"/>
    <mergeCell ref="O11:O12"/>
    <mergeCell ref="P10:P12"/>
    <mergeCell ref="Q10:Q12"/>
    <mergeCell ref="M11:M12"/>
    <mergeCell ref="N11:N12"/>
    <mergeCell ref="F10:L10"/>
    <mergeCell ref="M10:O10"/>
  </mergeCells>
  <printOptions horizontalCentered="1"/>
  <pageMargins left="0.23" right="0" top="0.19" bottom="0.1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6"/>
  <sheetViews>
    <sheetView zoomScale="85" zoomScaleNormal="85" workbookViewId="0" topLeftCell="A19">
      <selection activeCell="U27" sqref="U27"/>
    </sheetView>
  </sheetViews>
  <sheetFormatPr defaultColWidth="8.796875" defaultRowHeight="15"/>
  <cols>
    <col min="1" max="1" width="4.19921875" style="4" customWidth="1"/>
    <col min="2" max="2" width="17.59765625" style="4" customWidth="1"/>
    <col min="3" max="14" width="5.5" style="4" customWidth="1"/>
    <col min="15" max="15" width="8" style="4" customWidth="1"/>
    <col min="16" max="16" width="6.59765625" style="4" customWidth="1"/>
    <col min="17" max="17" width="10.59765625" style="4" customWidth="1"/>
    <col min="18" max="18" width="9" style="4" customWidth="1"/>
    <col min="19" max="19" width="8.5" style="4" customWidth="1"/>
    <col min="20" max="20" width="8" style="4" customWidth="1"/>
    <col min="21" max="21" width="10.5" style="4" customWidth="1"/>
    <col min="22" max="16384" width="8" style="4" customWidth="1"/>
  </cols>
  <sheetData>
    <row r="1" spans="1:22" ht="24.75" customHeight="1">
      <c r="A1" s="1">
        <v>3</v>
      </c>
      <c r="B1" s="1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</row>
    <row r="2" spans="1:22" s="5" customFormat="1" ht="14.25" customHeight="1">
      <c r="A2" s="4"/>
      <c r="B2" s="147"/>
      <c r="C2" s="147"/>
      <c r="D2" s="147"/>
      <c r="E2" s="14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"/>
      <c r="S2" s="148" t="s">
        <v>0</v>
      </c>
      <c r="T2" s="4"/>
      <c r="U2" s="4"/>
      <c r="V2" s="4"/>
    </row>
    <row r="3" spans="1:22" s="5" customFormat="1" ht="16.5" customHeight="1">
      <c r="A3" s="149" t="s">
        <v>225</v>
      </c>
      <c r="B3" s="150"/>
      <c r="C3" s="150"/>
      <c r="D3" s="150"/>
      <c r="E3" s="150"/>
      <c r="F3" s="149" t="s">
        <v>1</v>
      </c>
      <c r="G3" s="151"/>
      <c r="H3" s="151"/>
      <c r="I3" s="151"/>
      <c r="J3" s="151"/>
      <c r="K3" s="151"/>
      <c r="L3" s="151"/>
      <c r="M3" s="151"/>
      <c r="N3" s="151"/>
      <c r="O3" s="151"/>
      <c r="P3" s="149" t="s">
        <v>2</v>
      </c>
      <c r="Q3" s="4"/>
      <c r="R3" s="4"/>
      <c r="S3" s="152"/>
      <c r="T3" s="4"/>
      <c r="U3" s="4"/>
      <c r="V3" s="4"/>
    </row>
    <row r="4" spans="1:22" s="5" customFormat="1" ht="15.75" customHeight="1">
      <c r="A4" s="149" t="s">
        <v>3</v>
      </c>
      <c r="B4" s="150"/>
      <c r="C4" s="150"/>
      <c r="D4" s="150"/>
      <c r="E4" s="15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52"/>
      <c r="T4" s="4"/>
      <c r="U4" s="4"/>
      <c r="V4" s="4"/>
    </row>
    <row r="5" spans="1:22" s="5" customFormat="1" ht="15.75" customHeight="1">
      <c r="A5" s="149" t="s">
        <v>201</v>
      </c>
      <c r="B5" s="150"/>
      <c r="C5" s="150"/>
      <c r="D5" s="150"/>
      <c r="E5" s="150"/>
      <c r="F5" s="153"/>
      <c r="G5" s="4"/>
      <c r="H5" s="4"/>
      <c r="I5" s="4"/>
      <c r="J5" s="4"/>
      <c r="K5" s="4"/>
      <c r="L5" s="4"/>
      <c r="M5" s="4"/>
      <c r="N5" s="4"/>
      <c r="O5" s="151"/>
      <c r="P5" s="154"/>
      <c r="Q5" s="4"/>
      <c r="R5" s="4"/>
      <c r="S5" s="155" t="s">
        <v>4</v>
      </c>
      <c r="T5" s="4"/>
      <c r="U5" s="4"/>
      <c r="V5" s="4"/>
    </row>
    <row r="6" spans="1:22" s="5" customFormat="1" ht="15.75" customHeight="1">
      <c r="A6" s="149" t="s">
        <v>202</v>
      </c>
      <c r="B6" s="150"/>
      <c r="C6" s="150"/>
      <c r="D6" s="150"/>
      <c r="E6" s="150"/>
      <c r="F6" s="153"/>
      <c r="G6" s="4"/>
      <c r="H6" s="4"/>
      <c r="I6" s="4"/>
      <c r="J6" s="4"/>
      <c r="K6" s="4"/>
      <c r="L6" s="4"/>
      <c r="M6" s="4"/>
      <c r="N6" s="4"/>
      <c r="O6" s="151"/>
      <c r="P6" s="154"/>
      <c r="Q6" s="4"/>
      <c r="R6" s="4"/>
      <c r="S6" s="155"/>
      <c r="T6" s="4"/>
      <c r="U6" s="4"/>
      <c r="V6" s="4"/>
    </row>
    <row r="7" spans="1:22" s="5" customFormat="1" ht="15.75" customHeight="1">
      <c r="A7" s="156" t="s">
        <v>226</v>
      </c>
      <c r="B7" s="150"/>
      <c r="C7" s="150"/>
      <c r="D7" s="150"/>
      <c r="E7" s="150"/>
      <c r="F7" s="153"/>
      <c r="G7" s="4"/>
      <c r="H7" s="4"/>
      <c r="I7" s="4"/>
      <c r="J7" s="4"/>
      <c r="K7" s="4"/>
      <c r="L7" s="4"/>
      <c r="M7" s="4"/>
      <c r="N7" s="4"/>
      <c r="O7" s="4"/>
      <c r="P7" s="154"/>
      <c r="Q7" s="4"/>
      <c r="R7" s="4"/>
      <c r="S7" s="152"/>
      <c r="T7" s="4"/>
      <c r="U7" s="4"/>
      <c r="V7" s="4"/>
    </row>
    <row r="8" spans="1:22" s="5" customFormat="1" ht="15.75" customHeight="1">
      <c r="A8" s="149" t="s">
        <v>198</v>
      </c>
      <c r="B8" s="150"/>
      <c r="C8" s="150"/>
      <c r="D8" s="150"/>
      <c r="E8" s="150"/>
      <c r="F8" s="153"/>
      <c r="G8" s="151"/>
      <c r="H8" s="151"/>
      <c r="I8" s="151"/>
      <c r="J8" s="151"/>
      <c r="K8" s="151"/>
      <c r="L8" s="151"/>
      <c r="M8" s="151"/>
      <c r="N8" s="151"/>
      <c r="O8" s="151"/>
      <c r="P8" s="154"/>
      <c r="Q8" s="4"/>
      <c r="R8" s="4"/>
      <c r="S8" s="152"/>
      <c r="T8" s="4"/>
      <c r="U8" s="4"/>
      <c r="V8" s="4"/>
    </row>
    <row r="9" spans="1:22" s="5" customFormat="1" ht="20.25" customHeight="1">
      <c r="A9" s="157" t="s">
        <v>178</v>
      </c>
      <c r="B9" s="158"/>
      <c r="C9" s="158" t="str">
        <f>'DANH MUC NPL'!H9</f>
        <v>308A361</v>
      </c>
      <c r="D9" s="158"/>
      <c r="E9" s="158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1" t="s">
        <v>6</v>
      </c>
      <c r="Q9" s="162">
        <f>'DANH MUC NPL'!H10</f>
        <v>22800</v>
      </c>
      <c r="R9" s="142" t="s">
        <v>7</v>
      </c>
      <c r="S9" s="157"/>
      <c r="T9" s="4"/>
      <c r="U9" s="4"/>
      <c r="V9" s="4"/>
    </row>
    <row r="10" spans="1:22" s="5" customFormat="1" ht="15" customHeight="1">
      <c r="A10" s="353" t="s">
        <v>8</v>
      </c>
      <c r="B10" s="408" t="s">
        <v>9</v>
      </c>
      <c r="C10" s="409"/>
      <c r="D10" s="409"/>
      <c r="E10" s="410"/>
      <c r="F10" s="407" t="s">
        <v>10</v>
      </c>
      <c r="G10" s="393" t="s">
        <v>11</v>
      </c>
      <c r="H10" s="402" t="s">
        <v>194</v>
      </c>
      <c r="I10" s="403"/>
      <c r="J10" s="403"/>
      <c r="K10" s="403"/>
      <c r="L10" s="403"/>
      <c r="M10" s="403"/>
      <c r="N10" s="404"/>
      <c r="O10" s="405" t="s">
        <v>12</v>
      </c>
      <c r="P10" s="406"/>
      <c r="Q10" s="406"/>
      <c r="R10" s="397" t="s">
        <v>13</v>
      </c>
      <c r="S10" s="397" t="s">
        <v>14</v>
      </c>
      <c r="T10" s="4"/>
      <c r="U10" s="4"/>
      <c r="V10" s="4"/>
    </row>
    <row r="11" spans="1:22" s="5" customFormat="1" ht="15" customHeight="1">
      <c r="A11" s="354"/>
      <c r="B11" s="411"/>
      <c r="C11" s="412"/>
      <c r="D11" s="412"/>
      <c r="E11" s="413"/>
      <c r="F11" s="394"/>
      <c r="G11" s="394"/>
      <c r="H11" s="294">
        <v>1</v>
      </c>
      <c r="I11" s="294">
        <v>3</v>
      </c>
      <c r="J11" s="294">
        <v>5</v>
      </c>
      <c r="K11" s="295">
        <v>7</v>
      </c>
      <c r="L11" s="294">
        <v>9</v>
      </c>
      <c r="M11" s="294">
        <v>11</v>
      </c>
      <c r="N11" s="294">
        <v>13</v>
      </c>
      <c r="O11" s="398" t="s">
        <v>214</v>
      </c>
      <c r="P11" s="400" t="s">
        <v>200</v>
      </c>
      <c r="Q11" s="395" t="s">
        <v>195</v>
      </c>
      <c r="R11" s="397"/>
      <c r="S11" s="397"/>
      <c r="T11" s="4"/>
      <c r="U11" s="4"/>
      <c r="V11" s="4"/>
    </row>
    <row r="12" spans="1:22" s="5" customFormat="1" ht="15" customHeight="1">
      <c r="A12" s="355"/>
      <c r="B12" s="414"/>
      <c r="C12" s="415"/>
      <c r="D12" s="415"/>
      <c r="E12" s="416"/>
      <c r="F12" s="394"/>
      <c r="G12" s="394"/>
      <c r="H12" s="296">
        <v>300</v>
      </c>
      <c r="I12" s="296">
        <v>600</v>
      </c>
      <c r="J12" s="296">
        <v>600</v>
      </c>
      <c r="K12" s="297">
        <v>600</v>
      </c>
      <c r="L12" s="296">
        <v>600</v>
      </c>
      <c r="M12" s="296">
        <v>600</v>
      </c>
      <c r="N12" s="296">
        <v>300</v>
      </c>
      <c r="O12" s="399"/>
      <c r="P12" s="401"/>
      <c r="Q12" s="396"/>
      <c r="R12" s="397"/>
      <c r="S12" s="397"/>
      <c r="T12" s="4"/>
      <c r="U12" s="313">
        <f>SUM(H12:N12)</f>
        <v>3600</v>
      </c>
      <c r="V12" s="4"/>
    </row>
    <row r="13" spans="1:22" s="5" customFormat="1" ht="18.75" customHeight="1">
      <c r="A13" s="163">
        <v>1</v>
      </c>
      <c r="B13" s="264" t="s">
        <v>17</v>
      </c>
      <c r="C13" s="269"/>
      <c r="D13" s="271"/>
      <c r="E13" s="187"/>
      <c r="F13" s="265" t="s">
        <v>18</v>
      </c>
      <c r="G13" s="298" t="s">
        <v>243</v>
      </c>
      <c r="H13" s="277">
        <f aca="true" t="shared" si="0" ref="H13:H26">K13*0.97</f>
        <v>0.97</v>
      </c>
      <c r="I13" s="277">
        <f aca="true" t="shared" si="1" ref="I13:I26">K13*0.98</f>
        <v>0.98</v>
      </c>
      <c r="J13" s="277">
        <f aca="true" t="shared" si="2" ref="J13:J26">K13*0.99</f>
        <v>0.99</v>
      </c>
      <c r="K13" s="277">
        <v>1</v>
      </c>
      <c r="L13" s="277">
        <f aca="true" t="shared" si="3" ref="L13:L26">K13*1.01</f>
        <v>1.01</v>
      </c>
      <c r="M13" s="277">
        <f aca="true" t="shared" si="4" ref="M13:M26">K13*1.02</f>
        <v>1.02</v>
      </c>
      <c r="N13" s="277">
        <f aca="true" t="shared" si="5" ref="N13:N26">K13*1.03</f>
        <v>1.03</v>
      </c>
      <c r="O13" s="282">
        <f>'DANH MUC NPL'!H12</f>
        <v>0</v>
      </c>
      <c r="P13" s="283">
        <v>0.03</v>
      </c>
      <c r="Q13" s="299">
        <f aca="true" t="shared" si="6" ref="Q13:Q58">O13*1.03*$Q$9</f>
        <v>0</v>
      </c>
      <c r="R13" s="285" t="s">
        <v>19</v>
      </c>
      <c r="S13" s="286"/>
      <c r="T13" s="4"/>
      <c r="U13" s="216">
        <f aca="true" t="shared" si="7" ref="U13:U44">(H13*$H$12+I13*$I$12+J13*$J$12+K13*$K$12+L13*$L$12+M13*$M$12+N13*$N$12)/$Q$9</f>
        <v>0.15789473684210525</v>
      </c>
      <c r="V13" s="4"/>
    </row>
    <row r="14" spans="1:22" s="5" customFormat="1" ht="14.25" customHeight="1">
      <c r="A14" s="163">
        <v>2</v>
      </c>
      <c r="B14" s="49" t="s">
        <v>20</v>
      </c>
      <c r="C14" s="267"/>
      <c r="D14" s="267"/>
      <c r="E14" s="188"/>
      <c r="F14" s="50" t="s">
        <v>21</v>
      </c>
      <c r="G14" s="281" t="s">
        <v>243</v>
      </c>
      <c r="H14" s="277">
        <f t="shared" si="0"/>
        <v>0.97</v>
      </c>
      <c r="I14" s="277">
        <f t="shared" si="1"/>
        <v>0.98</v>
      </c>
      <c r="J14" s="277">
        <f t="shared" si="2"/>
        <v>0.99</v>
      </c>
      <c r="K14" s="277">
        <v>1</v>
      </c>
      <c r="L14" s="277">
        <f t="shared" si="3"/>
        <v>1.01</v>
      </c>
      <c r="M14" s="277">
        <f t="shared" si="4"/>
        <v>1.02</v>
      </c>
      <c r="N14" s="277">
        <f t="shared" si="5"/>
        <v>1.03</v>
      </c>
      <c r="O14" s="282">
        <f>'DANH MUC NPL'!H13</f>
        <v>0</v>
      </c>
      <c r="P14" s="283">
        <v>0.03</v>
      </c>
      <c r="Q14" s="300">
        <f t="shared" si="6"/>
        <v>0</v>
      </c>
      <c r="R14" s="285" t="s">
        <v>19</v>
      </c>
      <c r="S14" s="286"/>
      <c r="T14" s="4"/>
      <c r="U14" s="216">
        <f t="shared" si="7"/>
        <v>0.15789473684210525</v>
      </c>
      <c r="V14" s="4"/>
    </row>
    <row r="15" spans="1:22" s="5" customFormat="1" ht="14.25" customHeight="1">
      <c r="A15" s="163">
        <v>3</v>
      </c>
      <c r="B15" s="49" t="s">
        <v>22</v>
      </c>
      <c r="C15" s="267"/>
      <c r="D15" s="267"/>
      <c r="E15" s="188"/>
      <c r="F15" s="50" t="s">
        <v>23</v>
      </c>
      <c r="G15" s="281" t="s">
        <v>243</v>
      </c>
      <c r="H15" s="277">
        <f t="shared" si="0"/>
        <v>0.97</v>
      </c>
      <c r="I15" s="277">
        <f t="shared" si="1"/>
        <v>0.98</v>
      </c>
      <c r="J15" s="277">
        <f t="shared" si="2"/>
        <v>0.99</v>
      </c>
      <c r="K15" s="277">
        <v>1</v>
      </c>
      <c r="L15" s="277">
        <f t="shared" si="3"/>
        <v>1.01</v>
      </c>
      <c r="M15" s="277">
        <f t="shared" si="4"/>
        <v>1.02</v>
      </c>
      <c r="N15" s="277">
        <f t="shared" si="5"/>
        <v>1.03</v>
      </c>
      <c r="O15" s="282">
        <f>'DANH MUC NPL'!H14</f>
        <v>1.563</v>
      </c>
      <c r="P15" s="283">
        <v>0.03</v>
      </c>
      <c r="Q15" s="284">
        <f t="shared" si="6"/>
        <v>36705.492</v>
      </c>
      <c r="R15" s="285" t="s">
        <v>19</v>
      </c>
      <c r="S15" s="286"/>
      <c r="T15" s="4"/>
      <c r="U15" s="216">
        <f t="shared" si="7"/>
        <v>0.15789473684210525</v>
      </c>
      <c r="V15" s="4"/>
    </row>
    <row r="16" spans="1:22" s="5" customFormat="1" ht="14.25" customHeight="1">
      <c r="A16" s="163">
        <v>4</v>
      </c>
      <c r="B16" s="49" t="s">
        <v>24</v>
      </c>
      <c r="C16" s="267"/>
      <c r="D16" s="267"/>
      <c r="E16" s="188"/>
      <c r="F16" s="50" t="s">
        <v>25</v>
      </c>
      <c r="G16" s="281" t="s">
        <v>243</v>
      </c>
      <c r="H16" s="277">
        <f t="shared" si="0"/>
        <v>0.97</v>
      </c>
      <c r="I16" s="277">
        <f t="shared" si="1"/>
        <v>0.98</v>
      </c>
      <c r="J16" s="277">
        <f t="shared" si="2"/>
        <v>0.99</v>
      </c>
      <c r="K16" s="277">
        <v>1</v>
      </c>
      <c r="L16" s="277">
        <f t="shared" si="3"/>
        <v>1.01</v>
      </c>
      <c r="M16" s="277">
        <f t="shared" si="4"/>
        <v>1.02</v>
      </c>
      <c r="N16" s="277">
        <f t="shared" si="5"/>
        <v>1.03</v>
      </c>
      <c r="O16" s="282">
        <f>'DANH MUC NPL'!H15</f>
        <v>0</v>
      </c>
      <c r="P16" s="283">
        <v>0.03</v>
      </c>
      <c r="Q16" s="284">
        <f t="shared" si="6"/>
        <v>0</v>
      </c>
      <c r="R16" s="285" t="s">
        <v>19</v>
      </c>
      <c r="S16" s="288"/>
      <c r="T16" s="4"/>
      <c r="U16" s="216">
        <f t="shared" si="7"/>
        <v>0.15789473684210525</v>
      </c>
      <c r="V16" s="4"/>
    </row>
    <row r="17" spans="1:22" s="5" customFormat="1" ht="14.25" customHeight="1">
      <c r="A17" s="163">
        <v>5</v>
      </c>
      <c r="B17" s="49" t="s">
        <v>26</v>
      </c>
      <c r="C17" s="267"/>
      <c r="D17" s="267"/>
      <c r="E17" s="188"/>
      <c r="F17" s="50" t="s">
        <v>27</v>
      </c>
      <c r="G17" s="281" t="s">
        <v>243</v>
      </c>
      <c r="H17" s="277">
        <f t="shared" si="0"/>
        <v>0.97</v>
      </c>
      <c r="I17" s="277">
        <f t="shared" si="1"/>
        <v>0.98</v>
      </c>
      <c r="J17" s="277">
        <f t="shared" si="2"/>
        <v>0.99</v>
      </c>
      <c r="K17" s="277">
        <v>1</v>
      </c>
      <c r="L17" s="277">
        <f t="shared" si="3"/>
        <v>1.01</v>
      </c>
      <c r="M17" s="277">
        <f t="shared" si="4"/>
        <v>1.02</v>
      </c>
      <c r="N17" s="277">
        <f t="shared" si="5"/>
        <v>1.03</v>
      </c>
      <c r="O17" s="282">
        <f>'DANH MUC NPL'!H16</f>
        <v>0</v>
      </c>
      <c r="P17" s="283">
        <v>0.03</v>
      </c>
      <c r="Q17" s="284">
        <f t="shared" si="6"/>
        <v>0</v>
      </c>
      <c r="R17" s="285" t="s">
        <v>19</v>
      </c>
      <c r="S17" s="288"/>
      <c r="T17" s="4"/>
      <c r="U17" s="216">
        <f t="shared" si="7"/>
        <v>0.15789473684210525</v>
      </c>
      <c r="V17" s="4"/>
    </row>
    <row r="18" spans="1:22" s="5" customFormat="1" ht="14.25" customHeight="1">
      <c r="A18" s="163">
        <v>6</v>
      </c>
      <c r="B18" s="49" t="s">
        <v>28</v>
      </c>
      <c r="C18" s="267"/>
      <c r="D18" s="267"/>
      <c r="E18" s="188"/>
      <c r="F18" s="50" t="s">
        <v>29</v>
      </c>
      <c r="G18" s="281" t="s">
        <v>243</v>
      </c>
      <c r="H18" s="277">
        <f t="shared" si="0"/>
        <v>0.97</v>
      </c>
      <c r="I18" s="277">
        <f t="shared" si="1"/>
        <v>0.98</v>
      </c>
      <c r="J18" s="277">
        <f t="shared" si="2"/>
        <v>0.99</v>
      </c>
      <c r="K18" s="277">
        <v>1</v>
      </c>
      <c r="L18" s="277">
        <f t="shared" si="3"/>
        <v>1.01</v>
      </c>
      <c r="M18" s="277">
        <f t="shared" si="4"/>
        <v>1.02</v>
      </c>
      <c r="N18" s="277">
        <f t="shared" si="5"/>
        <v>1.03</v>
      </c>
      <c r="O18" s="282">
        <f>'DANH MUC NPL'!H17</f>
        <v>0</v>
      </c>
      <c r="P18" s="283">
        <v>0.03</v>
      </c>
      <c r="Q18" s="284">
        <f t="shared" si="6"/>
        <v>0</v>
      </c>
      <c r="R18" s="285" t="s">
        <v>19</v>
      </c>
      <c r="S18" s="288"/>
      <c r="T18" s="4"/>
      <c r="U18" s="216">
        <f t="shared" si="7"/>
        <v>0.15789473684210525</v>
      </c>
      <c r="V18" s="4"/>
    </row>
    <row r="19" spans="1:22" s="5" customFormat="1" ht="14.25" customHeight="1">
      <c r="A19" s="163">
        <v>7</v>
      </c>
      <c r="B19" s="49" t="s">
        <v>30</v>
      </c>
      <c r="C19" s="267"/>
      <c r="D19" s="267"/>
      <c r="E19" s="188"/>
      <c r="F19" s="50" t="s">
        <v>31</v>
      </c>
      <c r="G19" s="281" t="s">
        <v>243</v>
      </c>
      <c r="H19" s="277">
        <f t="shared" si="0"/>
        <v>0.97</v>
      </c>
      <c r="I19" s="277">
        <f t="shared" si="1"/>
        <v>0.98</v>
      </c>
      <c r="J19" s="277">
        <f t="shared" si="2"/>
        <v>0.99</v>
      </c>
      <c r="K19" s="277">
        <v>1</v>
      </c>
      <c r="L19" s="277">
        <f t="shared" si="3"/>
        <v>1.01</v>
      </c>
      <c r="M19" s="277">
        <f t="shared" si="4"/>
        <v>1.02</v>
      </c>
      <c r="N19" s="277">
        <f t="shared" si="5"/>
        <v>1.03</v>
      </c>
      <c r="O19" s="282">
        <f>'DANH MUC NPL'!H18</f>
        <v>0</v>
      </c>
      <c r="P19" s="283">
        <v>0.03</v>
      </c>
      <c r="Q19" s="284">
        <f t="shared" si="6"/>
        <v>0</v>
      </c>
      <c r="R19" s="285" t="s">
        <v>19</v>
      </c>
      <c r="S19" s="288"/>
      <c r="T19" s="4"/>
      <c r="U19" s="216">
        <f t="shared" si="7"/>
        <v>0.15789473684210525</v>
      </c>
      <c r="V19" s="4"/>
    </row>
    <row r="20" spans="1:22" s="5" customFormat="1" ht="14.25" customHeight="1">
      <c r="A20" s="163">
        <v>8</v>
      </c>
      <c r="B20" s="49" t="s">
        <v>32</v>
      </c>
      <c r="C20" s="267"/>
      <c r="D20" s="267"/>
      <c r="E20" s="188"/>
      <c r="F20" s="50" t="s">
        <v>33</v>
      </c>
      <c r="G20" s="281" t="s">
        <v>243</v>
      </c>
      <c r="H20" s="277">
        <f t="shared" si="0"/>
        <v>0.97</v>
      </c>
      <c r="I20" s="277">
        <f t="shared" si="1"/>
        <v>0.98</v>
      </c>
      <c r="J20" s="277">
        <f t="shared" si="2"/>
        <v>0.99</v>
      </c>
      <c r="K20" s="277">
        <v>1</v>
      </c>
      <c r="L20" s="277">
        <f t="shared" si="3"/>
        <v>1.01</v>
      </c>
      <c r="M20" s="277">
        <f t="shared" si="4"/>
        <v>1.02</v>
      </c>
      <c r="N20" s="277">
        <f t="shared" si="5"/>
        <v>1.03</v>
      </c>
      <c r="O20" s="282">
        <f>'DANH MUC NPL'!H19</f>
        <v>0</v>
      </c>
      <c r="P20" s="283">
        <v>0.03</v>
      </c>
      <c r="Q20" s="284">
        <f t="shared" si="6"/>
        <v>0</v>
      </c>
      <c r="R20" s="285" t="s">
        <v>19</v>
      </c>
      <c r="S20" s="288"/>
      <c r="T20" s="4"/>
      <c r="U20" s="216">
        <f t="shared" si="7"/>
        <v>0.15789473684210525</v>
      </c>
      <c r="V20" s="4"/>
    </row>
    <row r="21" spans="1:22" s="5" customFormat="1" ht="14.25" customHeight="1">
      <c r="A21" s="163">
        <v>9</v>
      </c>
      <c r="B21" s="49" t="s">
        <v>34</v>
      </c>
      <c r="C21" s="267"/>
      <c r="D21" s="267"/>
      <c r="E21" s="188"/>
      <c r="F21" s="50" t="s">
        <v>35</v>
      </c>
      <c r="G21" s="281" t="s">
        <v>243</v>
      </c>
      <c r="H21" s="277">
        <f t="shared" si="0"/>
        <v>0.97</v>
      </c>
      <c r="I21" s="277">
        <f t="shared" si="1"/>
        <v>0.98</v>
      </c>
      <c r="J21" s="277">
        <f t="shared" si="2"/>
        <v>0.99</v>
      </c>
      <c r="K21" s="277">
        <v>1</v>
      </c>
      <c r="L21" s="277">
        <f t="shared" si="3"/>
        <v>1.01</v>
      </c>
      <c r="M21" s="277">
        <f t="shared" si="4"/>
        <v>1.02</v>
      </c>
      <c r="N21" s="277">
        <f t="shared" si="5"/>
        <v>1.03</v>
      </c>
      <c r="O21" s="282">
        <f>'DANH MUC NPL'!H20</f>
        <v>0</v>
      </c>
      <c r="P21" s="283">
        <v>0.03</v>
      </c>
      <c r="Q21" s="284">
        <f t="shared" si="6"/>
        <v>0</v>
      </c>
      <c r="R21" s="285" t="s">
        <v>19</v>
      </c>
      <c r="S21" s="288"/>
      <c r="T21" s="4"/>
      <c r="U21" s="216">
        <f t="shared" si="7"/>
        <v>0.15789473684210525</v>
      </c>
      <c r="V21" s="4"/>
    </row>
    <row r="22" spans="1:22" s="5" customFormat="1" ht="14.25" customHeight="1">
      <c r="A22" s="163">
        <v>10</v>
      </c>
      <c r="B22" s="49" t="s">
        <v>36</v>
      </c>
      <c r="C22" s="268"/>
      <c r="D22" s="268"/>
      <c r="E22" s="214"/>
      <c r="F22" s="50" t="s">
        <v>37</v>
      </c>
      <c r="G22" s="281" t="s">
        <v>243</v>
      </c>
      <c r="H22" s="277">
        <f t="shared" si="0"/>
        <v>0.97</v>
      </c>
      <c r="I22" s="277">
        <f t="shared" si="1"/>
        <v>0.98</v>
      </c>
      <c r="J22" s="277">
        <f t="shared" si="2"/>
        <v>0.99</v>
      </c>
      <c r="K22" s="277">
        <v>1</v>
      </c>
      <c r="L22" s="277">
        <f t="shared" si="3"/>
        <v>1.01</v>
      </c>
      <c r="M22" s="277">
        <f t="shared" si="4"/>
        <v>1.02</v>
      </c>
      <c r="N22" s="277">
        <f t="shared" si="5"/>
        <v>1.03</v>
      </c>
      <c r="O22" s="282">
        <f>'DANH MUC NPL'!H21</f>
        <v>0</v>
      </c>
      <c r="P22" s="283">
        <v>0.03</v>
      </c>
      <c r="Q22" s="284">
        <f t="shared" si="6"/>
        <v>0</v>
      </c>
      <c r="R22" s="285" t="s">
        <v>19</v>
      </c>
      <c r="S22" s="288"/>
      <c r="T22" s="4"/>
      <c r="U22" s="216">
        <f t="shared" si="7"/>
        <v>0.15789473684210525</v>
      </c>
      <c r="V22" s="4"/>
    </row>
    <row r="23" spans="1:22" s="5" customFormat="1" ht="14.25" customHeight="1">
      <c r="A23" s="163">
        <v>11</v>
      </c>
      <c r="B23" s="49" t="s">
        <v>38</v>
      </c>
      <c r="C23" s="268"/>
      <c r="D23" s="268"/>
      <c r="E23" s="214"/>
      <c r="F23" s="50" t="s">
        <v>39</v>
      </c>
      <c r="G23" s="281" t="s">
        <v>165</v>
      </c>
      <c r="H23" s="277">
        <f t="shared" si="0"/>
        <v>0.97</v>
      </c>
      <c r="I23" s="277">
        <f t="shared" si="1"/>
        <v>0.98</v>
      </c>
      <c r="J23" s="277">
        <f t="shared" si="2"/>
        <v>0.99</v>
      </c>
      <c r="K23" s="277">
        <v>1</v>
      </c>
      <c r="L23" s="277">
        <f t="shared" si="3"/>
        <v>1.01</v>
      </c>
      <c r="M23" s="277">
        <f t="shared" si="4"/>
        <v>1.02</v>
      </c>
      <c r="N23" s="277">
        <f t="shared" si="5"/>
        <v>1.03</v>
      </c>
      <c r="O23" s="282">
        <f>'DANH MUC NPL'!H22</f>
        <v>0</v>
      </c>
      <c r="P23" s="283">
        <v>0.03</v>
      </c>
      <c r="Q23" s="284">
        <f t="shared" si="6"/>
        <v>0</v>
      </c>
      <c r="R23" s="285" t="s">
        <v>19</v>
      </c>
      <c r="S23" s="288"/>
      <c r="T23" s="4"/>
      <c r="U23" s="216">
        <f t="shared" si="7"/>
        <v>0.15789473684210525</v>
      </c>
      <c r="V23" s="4"/>
    </row>
    <row r="24" spans="1:22" s="5" customFormat="1" ht="14.25" customHeight="1">
      <c r="A24" s="163">
        <v>12</v>
      </c>
      <c r="B24" s="49" t="s">
        <v>40</v>
      </c>
      <c r="C24" s="268"/>
      <c r="D24" s="268"/>
      <c r="E24" s="214"/>
      <c r="F24" s="50" t="s">
        <v>41</v>
      </c>
      <c r="G24" s="281" t="s">
        <v>166</v>
      </c>
      <c r="H24" s="277">
        <f t="shared" si="0"/>
        <v>0.97</v>
      </c>
      <c r="I24" s="277">
        <f t="shared" si="1"/>
        <v>0.98</v>
      </c>
      <c r="J24" s="277">
        <f t="shared" si="2"/>
        <v>0.99</v>
      </c>
      <c r="K24" s="277">
        <v>1</v>
      </c>
      <c r="L24" s="277">
        <f t="shared" si="3"/>
        <v>1.01</v>
      </c>
      <c r="M24" s="277">
        <f t="shared" si="4"/>
        <v>1.02</v>
      </c>
      <c r="N24" s="277">
        <f t="shared" si="5"/>
        <v>1.03</v>
      </c>
      <c r="O24" s="282">
        <f>'DANH MUC NPL'!H23</f>
        <v>0</v>
      </c>
      <c r="P24" s="283">
        <v>0.03</v>
      </c>
      <c r="Q24" s="284">
        <f t="shared" si="6"/>
        <v>0</v>
      </c>
      <c r="R24" s="285" t="s">
        <v>19</v>
      </c>
      <c r="S24" s="288"/>
      <c r="T24" s="4"/>
      <c r="U24" s="216">
        <f t="shared" si="7"/>
        <v>0.15789473684210525</v>
      </c>
      <c r="V24" s="4"/>
    </row>
    <row r="25" spans="1:22" s="5" customFormat="1" ht="14.25" customHeight="1">
      <c r="A25" s="163">
        <v>13</v>
      </c>
      <c r="B25" s="49" t="s">
        <v>42</v>
      </c>
      <c r="C25" s="268"/>
      <c r="D25" s="268"/>
      <c r="E25" s="214"/>
      <c r="F25" s="50" t="s">
        <v>43</v>
      </c>
      <c r="G25" s="301" t="s">
        <v>165</v>
      </c>
      <c r="H25" s="277">
        <f t="shared" si="0"/>
        <v>0.97</v>
      </c>
      <c r="I25" s="277">
        <f t="shared" si="1"/>
        <v>0.98</v>
      </c>
      <c r="J25" s="277">
        <f t="shared" si="2"/>
        <v>0.99</v>
      </c>
      <c r="K25" s="277">
        <v>1</v>
      </c>
      <c r="L25" s="277">
        <f t="shared" si="3"/>
        <v>1.01</v>
      </c>
      <c r="M25" s="277">
        <f t="shared" si="4"/>
        <v>1.02</v>
      </c>
      <c r="N25" s="277">
        <f t="shared" si="5"/>
        <v>1.03</v>
      </c>
      <c r="O25" s="282">
        <f>'DANH MUC NPL'!H24</f>
        <v>0</v>
      </c>
      <c r="P25" s="283">
        <v>0.03</v>
      </c>
      <c r="Q25" s="284">
        <f t="shared" si="6"/>
        <v>0</v>
      </c>
      <c r="R25" s="285" t="s">
        <v>19</v>
      </c>
      <c r="S25" s="288"/>
      <c r="T25" s="4"/>
      <c r="U25" s="216">
        <f t="shared" si="7"/>
        <v>0.15789473684210525</v>
      </c>
      <c r="V25" s="4"/>
    </row>
    <row r="26" spans="1:22" s="5" customFormat="1" ht="14.25" customHeight="1">
      <c r="A26" s="163">
        <v>14</v>
      </c>
      <c r="B26" s="49" t="s">
        <v>44</v>
      </c>
      <c r="C26" s="268"/>
      <c r="D26" s="268"/>
      <c r="E26" s="214"/>
      <c r="F26" s="50" t="s">
        <v>45</v>
      </c>
      <c r="G26" s="281" t="s">
        <v>166</v>
      </c>
      <c r="H26" s="277">
        <f t="shared" si="0"/>
        <v>0.97</v>
      </c>
      <c r="I26" s="277">
        <f t="shared" si="1"/>
        <v>0.98</v>
      </c>
      <c r="J26" s="277">
        <f t="shared" si="2"/>
        <v>0.99</v>
      </c>
      <c r="K26" s="277">
        <v>1</v>
      </c>
      <c r="L26" s="277">
        <f t="shared" si="3"/>
        <v>1.01</v>
      </c>
      <c r="M26" s="277">
        <f t="shared" si="4"/>
        <v>1.02</v>
      </c>
      <c r="N26" s="277">
        <f t="shared" si="5"/>
        <v>1.03</v>
      </c>
      <c r="O26" s="282">
        <f>'DANH MUC NPL'!H25</f>
        <v>0</v>
      </c>
      <c r="P26" s="283">
        <v>0.03</v>
      </c>
      <c r="Q26" s="284">
        <f t="shared" si="6"/>
        <v>0</v>
      </c>
      <c r="R26" s="285" t="s">
        <v>19</v>
      </c>
      <c r="S26" s="288"/>
      <c r="T26" s="4"/>
      <c r="U26" s="216">
        <f t="shared" si="7"/>
        <v>0.15789473684210525</v>
      </c>
      <c r="V26" s="4"/>
    </row>
    <row r="27" spans="1:22" s="5" customFormat="1" ht="14.25" customHeight="1">
      <c r="A27" s="163">
        <v>15</v>
      </c>
      <c r="B27" s="49" t="s">
        <v>46</v>
      </c>
      <c r="C27" s="268"/>
      <c r="D27" s="268"/>
      <c r="E27" s="214"/>
      <c r="F27" s="50" t="s">
        <v>47</v>
      </c>
      <c r="G27" s="281" t="s">
        <v>167</v>
      </c>
      <c r="H27" s="279">
        <f aca="true" t="shared" si="8" ref="H27:N27">$O$27</f>
        <v>0</v>
      </c>
      <c r="I27" s="279">
        <f t="shared" si="8"/>
        <v>0</v>
      </c>
      <c r="J27" s="279">
        <f t="shared" si="8"/>
        <v>0</v>
      </c>
      <c r="K27" s="279">
        <f t="shared" si="8"/>
        <v>0</v>
      </c>
      <c r="L27" s="279">
        <f t="shared" si="8"/>
        <v>0</v>
      </c>
      <c r="M27" s="279">
        <f t="shared" si="8"/>
        <v>0</v>
      </c>
      <c r="N27" s="279">
        <f t="shared" si="8"/>
        <v>0</v>
      </c>
      <c r="O27" s="282">
        <f>'DANH MUC NPL'!H26</f>
        <v>0</v>
      </c>
      <c r="P27" s="283">
        <v>0.03</v>
      </c>
      <c r="Q27" s="284">
        <f t="shared" si="6"/>
        <v>0</v>
      </c>
      <c r="R27" s="285" t="s">
        <v>19</v>
      </c>
      <c r="S27" s="288"/>
      <c r="T27" s="4"/>
      <c r="U27" s="216">
        <f t="shared" si="7"/>
        <v>0</v>
      </c>
      <c r="V27" s="4"/>
    </row>
    <row r="28" spans="1:22" s="5" customFormat="1" ht="14.25" customHeight="1">
      <c r="A28" s="163">
        <v>16</v>
      </c>
      <c r="B28" s="49" t="s">
        <v>48</v>
      </c>
      <c r="C28" s="268"/>
      <c r="D28" s="268"/>
      <c r="E28" s="214"/>
      <c r="F28" s="50" t="s">
        <v>49</v>
      </c>
      <c r="G28" s="301" t="s">
        <v>165</v>
      </c>
      <c r="H28" s="277">
        <f>K28*0.97</f>
        <v>0.97</v>
      </c>
      <c r="I28" s="277">
        <f>K28*0.98</f>
        <v>0.98</v>
      </c>
      <c r="J28" s="277">
        <f>K28*0.99</f>
        <v>0.99</v>
      </c>
      <c r="K28" s="277">
        <v>1</v>
      </c>
      <c r="L28" s="277">
        <f>K28*1.01</f>
        <v>1.01</v>
      </c>
      <c r="M28" s="277">
        <f>K28*1.02</f>
        <v>1.02</v>
      </c>
      <c r="N28" s="277">
        <f>K28*1.03</f>
        <v>1.03</v>
      </c>
      <c r="O28" s="282">
        <f>'DANH MUC NPL'!H27</f>
        <v>334.098</v>
      </c>
      <c r="P28" s="283">
        <v>0.03</v>
      </c>
      <c r="Q28" s="284">
        <f t="shared" si="6"/>
        <v>7845957.432</v>
      </c>
      <c r="R28" s="287" t="s">
        <v>172</v>
      </c>
      <c r="S28" s="288"/>
      <c r="T28" s="4"/>
      <c r="U28" s="216">
        <f t="shared" si="7"/>
        <v>0.15789473684210525</v>
      </c>
      <c r="V28" s="4"/>
    </row>
    <row r="29" spans="1:22" s="5" customFormat="1" ht="14.25" customHeight="1">
      <c r="A29" s="163">
        <v>17</v>
      </c>
      <c r="B29" s="49" t="s">
        <v>50</v>
      </c>
      <c r="C29" s="268"/>
      <c r="D29" s="268"/>
      <c r="E29" s="214"/>
      <c r="F29" s="50" t="s">
        <v>51</v>
      </c>
      <c r="G29" s="281" t="s">
        <v>167</v>
      </c>
      <c r="H29" s="279">
        <f aca="true" t="shared" si="9" ref="H29:N29">$O$29</f>
        <v>1</v>
      </c>
      <c r="I29" s="279">
        <f t="shared" si="9"/>
        <v>1</v>
      </c>
      <c r="J29" s="279">
        <f t="shared" si="9"/>
        <v>1</v>
      </c>
      <c r="K29" s="279">
        <f t="shared" si="9"/>
        <v>1</v>
      </c>
      <c r="L29" s="279">
        <f t="shared" si="9"/>
        <v>1</v>
      </c>
      <c r="M29" s="279">
        <f t="shared" si="9"/>
        <v>1</v>
      </c>
      <c r="N29" s="279">
        <f t="shared" si="9"/>
        <v>1</v>
      </c>
      <c r="O29" s="282">
        <f>'DANH MUC NPL'!H28</f>
        <v>1</v>
      </c>
      <c r="P29" s="283">
        <v>0.03</v>
      </c>
      <c r="Q29" s="284">
        <f t="shared" si="6"/>
        <v>23484</v>
      </c>
      <c r="R29" s="285" t="s">
        <v>19</v>
      </c>
      <c r="S29" s="288"/>
      <c r="T29" s="4"/>
      <c r="U29" s="216">
        <f t="shared" si="7"/>
        <v>0.15789473684210525</v>
      </c>
      <c r="V29" s="4"/>
    </row>
    <row r="30" spans="1:22" s="5" customFormat="1" ht="14.25" customHeight="1">
      <c r="A30" s="163">
        <v>18</v>
      </c>
      <c r="B30" s="49" t="s">
        <v>52</v>
      </c>
      <c r="C30" s="268"/>
      <c r="D30" s="268"/>
      <c r="E30" s="214"/>
      <c r="F30" s="50" t="s">
        <v>53</v>
      </c>
      <c r="G30" s="281" t="s">
        <v>167</v>
      </c>
      <c r="H30" s="279">
        <f aca="true" t="shared" si="10" ref="H30:N30">$O$30</f>
        <v>0</v>
      </c>
      <c r="I30" s="279">
        <f t="shared" si="10"/>
        <v>0</v>
      </c>
      <c r="J30" s="279">
        <f t="shared" si="10"/>
        <v>0</v>
      </c>
      <c r="K30" s="279">
        <f t="shared" si="10"/>
        <v>0</v>
      </c>
      <c r="L30" s="279">
        <f t="shared" si="10"/>
        <v>0</v>
      </c>
      <c r="M30" s="279">
        <f t="shared" si="10"/>
        <v>0</v>
      </c>
      <c r="N30" s="279">
        <f t="shared" si="10"/>
        <v>0</v>
      </c>
      <c r="O30" s="282">
        <f>'DANH MUC NPL'!H29</f>
        <v>0</v>
      </c>
      <c r="P30" s="283">
        <v>0.03</v>
      </c>
      <c r="Q30" s="284">
        <f t="shared" si="6"/>
        <v>0</v>
      </c>
      <c r="R30" s="285" t="s">
        <v>19</v>
      </c>
      <c r="S30" s="288"/>
      <c r="T30" s="4"/>
      <c r="U30" s="216">
        <f t="shared" si="7"/>
        <v>0</v>
      </c>
      <c r="V30" s="4"/>
    </row>
    <row r="31" spans="1:22" s="5" customFormat="1" ht="14.25" customHeight="1">
      <c r="A31" s="163">
        <v>19</v>
      </c>
      <c r="B31" s="49" t="s">
        <v>55</v>
      </c>
      <c r="C31" s="268"/>
      <c r="D31" s="268"/>
      <c r="E31" s="214"/>
      <c r="F31" s="50" t="s">
        <v>56</v>
      </c>
      <c r="G31" s="281" t="s">
        <v>167</v>
      </c>
      <c r="H31" s="279">
        <f aca="true" t="shared" si="11" ref="H31:N31">$O$31</f>
        <v>0</v>
      </c>
      <c r="I31" s="279">
        <f t="shared" si="11"/>
        <v>0</v>
      </c>
      <c r="J31" s="279">
        <f t="shared" si="11"/>
        <v>0</v>
      </c>
      <c r="K31" s="279">
        <f t="shared" si="11"/>
        <v>0</v>
      </c>
      <c r="L31" s="279">
        <f t="shared" si="11"/>
        <v>0</v>
      </c>
      <c r="M31" s="279">
        <f t="shared" si="11"/>
        <v>0</v>
      </c>
      <c r="N31" s="279">
        <f t="shared" si="11"/>
        <v>0</v>
      </c>
      <c r="O31" s="282">
        <f>'DANH MUC NPL'!H30</f>
        <v>0</v>
      </c>
      <c r="P31" s="283">
        <v>0.03</v>
      </c>
      <c r="Q31" s="284">
        <f t="shared" si="6"/>
        <v>0</v>
      </c>
      <c r="R31" s="285" t="s">
        <v>19</v>
      </c>
      <c r="S31" s="288"/>
      <c r="T31" s="4"/>
      <c r="U31" s="216">
        <f t="shared" si="7"/>
        <v>0</v>
      </c>
      <c r="V31" s="4"/>
    </row>
    <row r="32" spans="1:22" s="5" customFormat="1" ht="14.25" customHeight="1">
      <c r="A32" s="163">
        <v>20</v>
      </c>
      <c r="B32" s="49" t="s">
        <v>57</v>
      </c>
      <c r="C32" s="268"/>
      <c r="D32" s="268"/>
      <c r="E32" s="214"/>
      <c r="F32" s="50" t="s">
        <v>58</v>
      </c>
      <c r="G32" s="281" t="s">
        <v>167</v>
      </c>
      <c r="H32" s="279">
        <f aca="true" t="shared" si="12" ref="H32:N32">$O$32</f>
        <v>0</v>
      </c>
      <c r="I32" s="279">
        <f t="shared" si="12"/>
        <v>0</v>
      </c>
      <c r="J32" s="279">
        <f t="shared" si="12"/>
        <v>0</v>
      </c>
      <c r="K32" s="279">
        <f t="shared" si="12"/>
        <v>0</v>
      </c>
      <c r="L32" s="279">
        <f t="shared" si="12"/>
        <v>0</v>
      </c>
      <c r="M32" s="279">
        <f t="shared" si="12"/>
        <v>0</v>
      </c>
      <c r="N32" s="279">
        <f t="shared" si="12"/>
        <v>0</v>
      </c>
      <c r="O32" s="282">
        <f>'DANH MUC NPL'!H31</f>
        <v>0</v>
      </c>
      <c r="P32" s="283">
        <v>0.03</v>
      </c>
      <c r="Q32" s="284">
        <f t="shared" si="6"/>
        <v>0</v>
      </c>
      <c r="R32" s="285" t="s">
        <v>19</v>
      </c>
      <c r="S32" s="288"/>
      <c r="T32" s="4"/>
      <c r="U32" s="216">
        <f t="shared" si="7"/>
        <v>0</v>
      </c>
      <c r="V32" s="4"/>
    </row>
    <row r="33" spans="1:22" s="5" customFormat="1" ht="14.25" customHeight="1">
      <c r="A33" s="163">
        <v>21</v>
      </c>
      <c r="B33" s="49" t="s">
        <v>59</v>
      </c>
      <c r="C33" s="268"/>
      <c r="D33" s="268"/>
      <c r="E33" s="214"/>
      <c r="F33" s="50" t="s">
        <v>60</v>
      </c>
      <c r="G33" s="281" t="s">
        <v>167</v>
      </c>
      <c r="H33" s="279">
        <f aca="true" t="shared" si="13" ref="H33:N33">$O$33</f>
        <v>0</v>
      </c>
      <c r="I33" s="279">
        <f t="shared" si="13"/>
        <v>0</v>
      </c>
      <c r="J33" s="279">
        <f t="shared" si="13"/>
        <v>0</v>
      </c>
      <c r="K33" s="279">
        <f t="shared" si="13"/>
        <v>0</v>
      </c>
      <c r="L33" s="279">
        <f t="shared" si="13"/>
        <v>0</v>
      </c>
      <c r="M33" s="279">
        <f t="shared" si="13"/>
        <v>0</v>
      </c>
      <c r="N33" s="279">
        <f t="shared" si="13"/>
        <v>0</v>
      </c>
      <c r="O33" s="282">
        <f>'DANH MUC NPL'!H32</f>
        <v>0</v>
      </c>
      <c r="P33" s="283">
        <v>0.03</v>
      </c>
      <c r="Q33" s="284">
        <f t="shared" si="6"/>
        <v>0</v>
      </c>
      <c r="R33" s="285" t="s">
        <v>19</v>
      </c>
      <c r="S33" s="288"/>
      <c r="T33" s="4"/>
      <c r="U33" s="216">
        <f t="shared" si="7"/>
        <v>0</v>
      </c>
      <c r="V33" s="4"/>
    </row>
    <row r="34" spans="1:22" s="5" customFormat="1" ht="14.25" customHeight="1">
      <c r="A34" s="163">
        <v>22</v>
      </c>
      <c r="B34" s="49" t="s">
        <v>61</v>
      </c>
      <c r="C34" s="268"/>
      <c r="D34" s="268"/>
      <c r="E34" s="214"/>
      <c r="F34" s="50" t="s">
        <v>62</v>
      </c>
      <c r="G34" s="281" t="s">
        <v>166</v>
      </c>
      <c r="H34" s="277">
        <f>K34*0.97</f>
        <v>0.97</v>
      </c>
      <c r="I34" s="277">
        <f>K34*0.98</f>
        <v>0.98</v>
      </c>
      <c r="J34" s="277">
        <f>K34*0.99</f>
        <v>0.99</v>
      </c>
      <c r="K34" s="277">
        <v>1</v>
      </c>
      <c r="L34" s="277">
        <f>K34*1.01</f>
        <v>1.01</v>
      </c>
      <c r="M34" s="277">
        <f>K34*1.02</f>
        <v>1.02</v>
      </c>
      <c r="N34" s="277">
        <f>K34*1.03</f>
        <v>1.03</v>
      </c>
      <c r="O34" s="282">
        <f>'DANH MUC NPL'!H33</f>
        <v>0</v>
      </c>
      <c r="P34" s="283">
        <v>0.03</v>
      </c>
      <c r="Q34" s="284">
        <f t="shared" si="6"/>
        <v>0</v>
      </c>
      <c r="R34" s="285" t="s">
        <v>19</v>
      </c>
      <c r="S34" s="288"/>
      <c r="T34" s="4"/>
      <c r="U34" s="216">
        <f t="shared" si="7"/>
        <v>0.15789473684210525</v>
      </c>
      <c r="V34" s="4"/>
    </row>
    <row r="35" spans="1:22" s="5" customFormat="1" ht="14.25" customHeight="1">
      <c r="A35" s="163">
        <v>23</v>
      </c>
      <c r="B35" s="49" t="s">
        <v>63</v>
      </c>
      <c r="C35" s="268"/>
      <c r="D35" s="268"/>
      <c r="E35" s="214"/>
      <c r="F35" s="50" t="s">
        <v>64</v>
      </c>
      <c r="G35" s="281" t="s">
        <v>166</v>
      </c>
      <c r="H35" s="277">
        <f>K35*0.97</f>
        <v>0.97</v>
      </c>
      <c r="I35" s="277">
        <f>K35*0.98</f>
        <v>0.98</v>
      </c>
      <c r="J35" s="277">
        <f>K35*0.99</f>
        <v>0.99</v>
      </c>
      <c r="K35" s="277">
        <v>1</v>
      </c>
      <c r="L35" s="277">
        <f>K35*1.01</f>
        <v>1.01</v>
      </c>
      <c r="M35" s="277">
        <f>K35*1.02</f>
        <v>1.02</v>
      </c>
      <c r="N35" s="277">
        <f>K35*1.03</f>
        <v>1.03</v>
      </c>
      <c r="O35" s="282">
        <f>'DANH MUC NPL'!H34</f>
        <v>0</v>
      </c>
      <c r="P35" s="283">
        <v>0.03</v>
      </c>
      <c r="Q35" s="284">
        <f t="shared" si="6"/>
        <v>0</v>
      </c>
      <c r="R35" s="285" t="s">
        <v>19</v>
      </c>
      <c r="S35" s="288"/>
      <c r="T35" s="4"/>
      <c r="U35" s="216">
        <f t="shared" si="7"/>
        <v>0.15789473684210525</v>
      </c>
      <c r="V35" s="4"/>
    </row>
    <row r="36" spans="1:22" s="5" customFormat="1" ht="14.25" customHeight="1">
      <c r="A36" s="163">
        <v>24</v>
      </c>
      <c r="B36" s="49" t="s">
        <v>65</v>
      </c>
      <c r="C36" s="268"/>
      <c r="D36" s="268"/>
      <c r="E36" s="214"/>
      <c r="F36" s="50" t="s">
        <v>66</v>
      </c>
      <c r="G36" s="281" t="s">
        <v>167</v>
      </c>
      <c r="H36" s="279">
        <f aca="true" t="shared" si="14" ref="H36:N36">$O$36</f>
        <v>10</v>
      </c>
      <c r="I36" s="279">
        <f t="shared" si="14"/>
        <v>10</v>
      </c>
      <c r="J36" s="279">
        <f t="shared" si="14"/>
        <v>10</v>
      </c>
      <c r="K36" s="279">
        <f t="shared" si="14"/>
        <v>10</v>
      </c>
      <c r="L36" s="279">
        <f t="shared" si="14"/>
        <v>10</v>
      </c>
      <c r="M36" s="279">
        <f t="shared" si="14"/>
        <v>10</v>
      </c>
      <c r="N36" s="279">
        <f t="shared" si="14"/>
        <v>10</v>
      </c>
      <c r="O36" s="282">
        <f>'DANH MUC NPL'!H35</f>
        <v>10</v>
      </c>
      <c r="P36" s="283">
        <v>0.03</v>
      </c>
      <c r="Q36" s="284">
        <f t="shared" si="6"/>
        <v>234840.00000000003</v>
      </c>
      <c r="R36" s="285" t="s">
        <v>19</v>
      </c>
      <c r="S36" s="288"/>
      <c r="T36" s="4"/>
      <c r="U36" s="216">
        <f t="shared" si="7"/>
        <v>1.5789473684210527</v>
      </c>
      <c r="V36" s="4"/>
    </row>
    <row r="37" spans="1:22" s="5" customFormat="1" ht="14.25" customHeight="1">
      <c r="A37" s="163">
        <v>25</v>
      </c>
      <c r="B37" s="49" t="s">
        <v>67</v>
      </c>
      <c r="C37" s="268"/>
      <c r="D37" s="268"/>
      <c r="E37" s="214"/>
      <c r="F37" s="50" t="s">
        <v>68</v>
      </c>
      <c r="G37" s="281" t="s">
        <v>168</v>
      </c>
      <c r="H37" s="279">
        <f aca="true" t="shared" si="15" ref="H37:N37">$O$37</f>
        <v>0</v>
      </c>
      <c r="I37" s="279">
        <f t="shared" si="15"/>
        <v>0</v>
      </c>
      <c r="J37" s="279">
        <f t="shared" si="15"/>
        <v>0</v>
      </c>
      <c r="K37" s="279">
        <f t="shared" si="15"/>
        <v>0</v>
      </c>
      <c r="L37" s="279">
        <f t="shared" si="15"/>
        <v>0</v>
      </c>
      <c r="M37" s="279">
        <f t="shared" si="15"/>
        <v>0</v>
      </c>
      <c r="N37" s="279">
        <f t="shared" si="15"/>
        <v>0</v>
      </c>
      <c r="O37" s="282">
        <f>'DANH MUC NPL'!H36</f>
        <v>0</v>
      </c>
      <c r="P37" s="283">
        <v>0.03</v>
      </c>
      <c r="Q37" s="284">
        <f t="shared" si="6"/>
        <v>0</v>
      </c>
      <c r="R37" s="285" t="s">
        <v>19</v>
      </c>
      <c r="S37" s="288"/>
      <c r="T37" s="4"/>
      <c r="U37" s="216">
        <f t="shared" si="7"/>
        <v>0</v>
      </c>
      <c r="V37" s="4"/>
    </row>
    <row r="38" spans="1:22" s="5" customFormat="1" ht="14.25" customHeight="1">
      <c r="A38" s="163">
        <v>26</v>
      </c>
      <c r="B38" s="49" t="s">
        <v>69</v>
      </c>
      <c r="C38" s="268"/>
      <c r="D38" s="268"/>
      <c r="E38" s="214"/>
      <c r="F38" s="50" t="s">
        <v>70</v>
      </c>
      <c r="G38" s="281" t="s">
        <v>168</v>
      </c>
      <c r="H38" s="279">
        <f aca="true" t="shared" si="16" ref="H38:N38">$O$38</f>
        <v>0</v>
      </c>
      <c r="I38" s="279">
        <f t="shared" si="16"/>
        <v>0</v>
      </c>
      <c r="J38" s="279">
        <f t="shared" si="16"/>
        <v>0</v>
      </c>
      <c r="K38" s="279">
        <f t="shared" si="16"/>
        <v>0</v>
      </c>
      <c r="L38" s="279">
        <f t="shared" si="16"/>
        <v>0</v>
      </c>
      <c r="M38" s="279">
        <f t="shared" si="16"/>
        <v>0</v>
      </c>
      <c r="N38" s="279">
        <f t="shared" si="16"/>
        <v>0</v>
      </c>
      <c r="O38" s="282">
        <f>'DANH MUC NPL'!H37</f>
        <v>0</v>
      </c>
      <c r="P38" s="283">
        <v>0.03</v>
      </c>
      <c r="Q38" s="284">
        <f t="shared" si="6"/>
        <v>0</v>
      </c>
      <c r="R38" s="285" t="s">
        <v>19</v>
      </c>
      <c r="S38" s="288"/>
      <c r="T38" s="4"/>
      <c r="U38" s="216">
        <f t="shared" si="7"/>
        <v>0</v>
      </c>
      <c r="V38" s="4"/>
    </row>
    <row r="39" spans="1:22" s="5" customFormat="1" ht="14.25" customHeight="1">
      <c r="A39" s="163">
        <v>27</v>
      </c>
      <c r="B39" s="49" t="s">
        <v>71</v>
      </c>
      <c r="C39" s="268"/>
      <c r="D39" s="268"/>
      <c r="E39" s="214"/>
      <c r="F39" s="50" t="s">
        <v>72</v>
      </c>
      <c r="G39" s="281" t="s">
        <v>167</v>
      </c>
      <c r="H39" s="279">
        <f aca="true" t="shared" si="17" ref="H39:N39">$O$39</f>
        <v>0</v>
      </c>
      <c r="I39" s="279">
        <f t="shared" si="17"/>
        <v>0</v>
      </c>
      <c r="J39" s="279">
        <f t="shared" si="17"/>
        <v>0</v>
      </c>
      <c r="K39" s="279">
        <f t="shared" si="17"/>
        <v>0</v>
      </c>
      <c r="L39" s="279">
        <f t="shared" si="17"/>
        <v>0</v>
      </c>
      <c r="M39" s="279">
        <f t="shared" si="17"/>
        <v>0</v>
      </c>
      <c r="N39" s="279">
        <f t="shared" si="17"/>
        <v>0</v>
      </c>
      <c r="O39" s="282">
        <f>'DANH MUC NPL'!H38</f>
        <v>0</v>
      </c>
      <c r="P39" s="283">
        <v>0.03</v>
      </c>
      <c r="Q39" s="284">
        <f t="shared" si="6"/>
        <v>0</v>
      </c>
      <c r="R39" s="285" t="s">
        <v>19</v>
      </c>
      <c r="S39" s="288"/>
      <c r="T39" s="4"/>
      <c r="U39" s="216">
        <f t="shared" si="7"/>
        <v>0</v>
      </c>
      <c r="V39" s="4"/>
    </row>
    <row r="40" spans="1:22" s="5" customFormat="1" ht="14.25" customHeight="1">
      <c r="A40" s="163">
        <v>28</v>
      </c>
      <c r="B40" s="49" t="s">
        <v>73</v>
      </c>
      <c r="C40" s="268"/>
      <c r="D40" s="268"/>
      <c r="E40" s="214"/>
      <c r="F40" s="50" t="s">
        <v>74</v>
      </c>
      <c r="G40" s="281" t="s">
        <v>167</v>
      </c>
      <c r="H40" s="279">
        <f aca="true" t="shared" si="18" ref="H40:N40">$O$40</f>
        <v>1</v>
      </c>
      <c r="I40" s="279">
        <f t="shared" si="18"/>
        <v>1</v>
      </c>
      <c r="J40" s="279">
        <f t="shared" si="18"/>
        <v>1</v>
      </c>
      <c r="K40" s="279">
        <f t="shared" si="18"/>
        <v>1</v>
      </c>
      <c r="L40" s="279">
        <f t="shared" si="18"/>
        <v>1</v>
      </c>
      <c r="M40" s="279">
        <f t="shared" si="18"/>
        <v>1</v>
      </c>
      <c r="N40" s="279">
        <f t="shared" si="18"/>
        <v>1</v>
      </c>
      <c r="O40" s="282">
        <f>'DANH MUC NPL'!H39</f>
        <v>1</v>
      </c>
      <c r="P40" s="283">
        <v>0</v>
      </c>
      <c r="Q40" s="284">
        <f t="shared" si="6"/>
        <v>23484</v>
      </c>
      <c r="R40" s="285" t="s">
        <v>19</v>
      </c>
      <c r="S40" s="288"/>
      <c r="T40" s="4"/>
      <c r="U40" s="216">
        <f t="shared" si="7"/>
        <v>0.15789473684210525</v>
      </c>
      <c r="V40" s="4"/>
    </row>
    <row r="41" spans="1:22" s="5" customFormat="1" ht="14.25" customHeight="1">
      <c r="A41" s="163">
        <v>29</v>
      </c>
      <c r="B41" s="49" t="s">
        <v>75</v>
      </c>
      <c r="C41" s="268"/>
      <c r="D41" s="268"/>
      <c r="E41" s="214"/>
      <c r="F41" s="50" t="s">
        <v>76</v>
      </c>
      <c r="G41" s="281" t="s">
        <v>167</v>
      </c>
      <c r="H41" s="279">
        <f aca="true" t="shared" si="19" ref="H41:N41">$O$41</f>
        <v>1</v>
      </c>
      <c r="I41" s="279">
        <f t="shared" si="19"/>
        <v>1</v>
      </c>
      <c r="J41" s="279">
        <f t="shared" si="19"/>
        <v>1</v>
      </c>
      <c r="K41" s="279">
        <f t="shared" si="19"/>
        <v>1</v>
      </c>
      <c r="L41" s="279">
        <f t="shared" si="19"/>
        <v>1</v>
      </c>
      <c r="M41" s="279">
        <f t="shared" si="19"/>
        <v>1</v>
      </c>
      <c r="N41" s="279">
        <f t="shared" si="19"/>
        <v>1</v>
      </c>
      <c r="O41" s="282">
        <f>'DANH MUC NPL'!H40</f>
        <v>1</v>
      </c>
      <c r="P41" s="283">
        <v>0.03</v>
      </c>
      <c r="Q41" s="284">
        <f t="shared" si="6"/>
        <v>23484</v>
      </c>
      <c r="R41" s="285" t="s">
        <v>19</v>
      </c>
      <c r="S41" s="288"/>
      <c r="T41" s="4"/>
      <c r="U41" s="216">
        <f t="shared" si="7"/>
        <v>0.15789473684210525</v>
      </c>
      <c r="V41" s="4"/>
    </row>
    <row r="42" spans="1:22" s="5" customFormat="1" ht="14.25" customHeight="1">
      <c r="A42" s="163">
        <v>30</v>
      </c>
      <c r="B42" s="49" t="s">
        <v>77</v>
      </c>
      <c r="C42" s="268"/>
      <c r="D42" s="268"/>
      <c r="E42" s="214"/>
      <c r="F42" s="50" t="s">
        <v>78</v>
      </c>
      <c r="G42" s="281" t="s">
        <v>167</v>
      </c>
      <c r="H42" s="279">
        <f aca="true" t="shared" si="20" ref="H42:N42">$O$42</f>
        <v>4</v>
      </c>
      <c r="I42" s="279">
        <f t="shared" si="20"/>
        <v>4</v>
      </c>
      <c r="J42" s="279">
        <f t="shared" si="20"/>
        <v>4</v>
      </c>
      <c r="K42" s="279">
        <f t="shared" si="20"/>
        <v>4</v>
      </c>
      <c r="L42" s="279">
        <f t="shared" si="20"/>
        <v>4</v>
      </c>
      <c r="M42" s="279">
        <f t="shared" si="20"/>
        <v>4</v>
      </c>
      <c r="N42" s="279">
        <f t="shared" si="20"/>
        <v>4</v>
      </c>
      <c r="O42" s="282">
        <f>'DANH MUC NPL'!H41</f>
        <v>4</v>
      </c>
      <c r="P42" s="283">
        <v>0.03</v>
      </c>
      <c r="Q42" s="284">
        <f t="shared" si="6"/>
        <v>93936</v>
      </c>
      <c r="R42" s="285" t="s">
        <v>19</v>
      </c>
      <c r="S42" s="288"/>
      <c r="T42" s="4"/>
      <c r="U42" s="216">
        <f t="shared" si="7"/>
        <v>0.631578947368421</v>
      </c>
      <c r="V42" s="4"/>
    </row>
    <row r="43" spans="1:22" s="5" customFormat="1" ht="14.25" customHeight="1">
      <c r="A43" s="163">
        <v>31</v>
      </c>
      <c r="B43" s="49" t="s">
        <v>79</v>
      </c>
      <c r="C43" s="268"/>
      <c r="D43" s="268"/>
      <c r="E43" s="214"/>
      <c r="F43" s="50" t="s">
        <v>80</v>
      </c>
      <c r="G43" s="281" t="s">
        <v>167</v>
      </c>
      <c r="H43" s="279">
        <f aca="true" t="shared" si="21" ref="H43:N43">$O$43</f>
        <v>0</v>
      </c>
      <c r="I43" s="279">
        <f t="shared" si="21"/>
        <v>0</v>
      </c>
      <c r="J43" s="279">
        <f t="shared" si="21"/>
        <v>0</v>
      </c>
      <c r="K43" s="279">
        <f t="shared" si="21"/>
        <v>0</v>
      </c>
      <c r="L43" s="279">
        <f t="shared" si="21"/>
        <v>0</v>
      </c>
      <c r="M43" s="279">
        <f t="shared" si="21"/>
        <v>0</v>
      </c>
      <c r="N43" s="279">
        <f t="shared" si="21"/>
        <v>0</v>
      </c>
      <c r="O43" s="282">
        <f>'DANH MUC NPL'!H42</f>
        <v>0</v>
      </c>
      <c r="P43" s="283">
        <v>0.03</v>
      </c>
      <c r="Q43" s="284">
        <f t="shared" si="6"/>
        <v>0</v>
      </c>
      <c r="R43" s="285" t="s">
        <v>19</v>
      </c>
      <c r="S43" s="288"/>
      <c r="T43" s="4"/>
      <c r="U43" s="216">
        <f t="shared" si="7"/>
        <v>0</v>
      </c>
      <c r="V43" s="4"/>
    </row>
    <row r="44" spans="1:22" s="5" customFormat="1" ht="14.25" customHeight="1">
      <c r="A44" s="163">
        <v>32</v>
      </c>
      <c r="B44" s="49" t="s">
        <v>81</v>
      </c>
      <c r="C44" s="268"/>
      <c r="D44" s="268"/>
      <c r="E44" s="214"/>
      <c r="F44" s="50" t="s">
        <v>82</v>
      </c>
      <c r="G44" s="281" t="s">
        <v>168</v>
      </c>
      <c r="H44" s="279">
        <f aca="true" t="shared" si="22" ref="H44:N44">$O$44</f>
        <v>0</v>
      </c>
      <c r="I44" s="279">
        <f t="shared" si="22"/>
        <v>0</v>
      </c>
      <c r="J44" s="279">
        <f t="shared" si="22"/>
        <v>0</v>
      </c>
      <c r="K44" s="279">
        <f t="shared" si="22"/>
        <v>0</v>
      </c>
      <c r="L44" s="279">
        <f t="shared" si="22"/>
        <v>0</v>
      </c>
      <c r="M44" s="279">
        <f t="shared" si="22"/>
        <v>0</v>
      </c>
      <c r="N44" s="279">
        <f t="shared" si="22"/>
        <v>0</v>
      </c>
      <c r="O44" s="282">
        <f>'DANH MUC NPL'!H43</f>
        <v>0</v>
      </c>
      <c r="P44" s="283">
        <v>0.03</v>
      </c>
      <c r="Q44" s="284">
        <f t="shared" si="6"/>
        <v>0</v>
      </c>
      <c r="R44" s="285" t="s">
        <v>19</v>
      </c>
      <c r="S44" s="288"/>
      <c r="T44" s="4"/>
      <c r="U44" s="216">
        <f t="shared" si="7"/>
        <v>0</v>
      </c>
      <c r="V44" s="4"/>
    </row>
    <row r="45" spans="1:22" s="5" customFormat="1" ht="14.25" customHeight="1">
      <c r="A45" s="163">
        <v>33</v>
      </c>
      <c r="B45" s="49" t="s">
        <v>83</v>
      </c>
      <c r="C45" s="268"/>
      <c r="D45" s="268"/>
      <c r="E45" s="214"/>
      <c r="F45" s="50" t="s">
        <v>84</v>
      </c>
      <c r="G45" s="301" t="s">
        <v>166</v>
      </c>
      <c r="H45" s="277">
        <f>K45*0.97</f>
        <v>0.97</v>
      </c>
      <c r="I45" s="277">
        <f>K45*0.98</f>
        <v>0.98</v>
      </c>
      <c r="J45" s="277">
        <f>K45*0.99</f>
        <v>0.99</v>
      </c>
      <c r="K45" s="277">
        <v>1</v>
      </c>
      <c r="L45" s="277">
        <f>K45*1.01</f>
        <v>1.01</v>
      </c>
      <c r="M45" s="277">
        <f>K45*1.02</f>
        <v>1.02</v>
      </c>
      <c r="N45" s="277">
        <f>K45*1.03</f>
        <v>1.03</v>
      </c>
      <c r="O45" s="282">
        <f>'DANH MUC NPL'!H44</f>
        <v>0</v>
      </c>
      <c r="P45" s="283">
        <v>0.03</v>
      </c>
      <c r="Q45" s="284">
        <f t="shared" si="6"/>
        <v>0</v>
      </c>
      <c r="R45" s="285" t="s">
        <v>19</v>
      </c>
      <c r="S45" s="288"/>
      <c r="T45" s="4"/>
      <c r="U45" s="216">
        <f aca="true" t="shared" si="23" ref="U45:U62">(H45*$H$12+I45*$I$12+J45*$J$12+K45*$K$12+L45*$L$12+M45*$M$12+N45*$N$12)/$Q$9</f>
        <v>0.15789473684210525</v>
      </c>
      <c r="V45" s="4"/>
    </row>
    <row r="46" spans="1:22" s="5" customFormat="1" ht="14.25" customHeight="1">
      <c r="A46" s="163">
        <v>34</v>
      </c>
      <c r="B46" s="49" t="s">
        <v>85</v>
      </c>
      <c r="C46" s="268"/>
      <c r="D46" s="268"/>
      <c r="E46" s="214"/>
      <c r="F46" s="50" t="s">
        <v>86</v>
      </c>
      <c r="G46" s="281" t="s">
        <v>169</v>
      </c>
      <c r="H46" s="277">
        <f>K46*0.97</f>
        <v>0.97</v>
      </c>
      <c r="I46" s="277">
        <f>K46*0.98</f>
        <v>0.98</v>
      </c>
      <c r="J46" s="277">
        <f>K46*0.99</f>
        <v>0.99</v>
      </c>
      <c r="K46" s="277">
        <v>1</v>
      </c>
      <c r="L46" s="277">
        <f>K46*1.01</f>
        <v>1.01</v>
      </c>
      <c r="M46" s="277">
        <f>K46*1.02</f>
        <v>1.02</v>
      </c>
      <c r="N46" s="277">
        <f>K46*1.03</f>
        <v>1.03</v>
      </c>
      <c r="O46" s="282">
        <f>'DANH MUC NPL'!H45</f>
        <v>0</v>
      </c>
      <c r="P46" s="283">
        <v>0.03</v>
      </c>
      <c r="Q46" s="284">
        <f t="shared" si="6"/>
        <v>0</v>
      </c>
      <c r="R46" s="285" t="s">
        <v>19</v>
      </c>
      <c r="S46" s="288"/>
      <c r="T46" s="4"/>
      <c r="U46" s="216">
        <f t="shared" si="23"/>
        <v>0.15789473684210525</v>
      </c>
      <c r="V46" s="4"/>
    </row>
    <row r="47" spans="1:22" s="5" customFormat="1" ht="14.25" customHeight="1">
      <c r="A47" s="163">
        <v>35</v>
      </c>
      <c r="B47" s="49" t="s">
        <v>87</v>
      </c>
      <c r="C47" s="268"/>
      <c r="D47" s="268"/>
      <c r="E47" s="214"/>
      <c r="F47" s="50" t="s">
        <v>88</v>
      </c>
      <c r="G47" s="281" t="s">
        <v>167</v>
      </c>
      <c r="H47" s="279">
        <f aca="true" t="shared" si="24" ref="H47:N47">$O$47</f>
        <v>1</v>
      </c>
      <c r="I47" s="279">
        <f t="shared" si="24"/>
        <v>1</v>
      </c>
      <c r="J47" s="279">
        <f t="shared" si="24"/>
        <v>1</v>
      </c>
      <c r="K47" s="279">
        <f t="shared" si="24"/>
        <v>1</v>
      </c>
      <c r="L47" s="279">
        <f t="shared" si="24"/>
        <v>1</v>
      </c>
      <c r="M47" s="279">
        <f t="shared" si="24"/>
        <v>1</v>
      </c>
      <c r="N47" s="279">
        <f t="shared" si="24"/>
        <v>1</v>
      </c>
      <c r="O47" s="282">
        <f>'DANH MUC NPL'!H46</f>
        <v>1</v>
      </c>
      <c r="P47" s="283">
        <v>0.03</v>
      </c>
      <c r="Q47" s="284">
        <f t="shared" si="6"/>
        <v>23484</v>
      </c>
      <c r="R47" s="287" t="s">
        <v>172</v>
      </c>
      <c r="S47" s="288"/>
      <c r="T47" s="4"/>
      <c r="U47" s="216">
        <f t="shared" si="23"/>
        <v>0.15789473684210525</v>
      </c>
      <c r="V47" s="4"/>
    </row>
    <row r="48" spans="1:22" s="5" customFormat="1" ht="14.25" customHeight="1">
      <c r="A48" s="163">
        <v>36</v>
      </c>
      <c r="B48" s="49" t="s">
        <v>89</v>
      </c>
      <c r="C48" s="268"/>
      <c r="D48" s="268"/>
      <c r="E48" s="214"/>
      <c r="F48" s="50" t="s">
        <v>90</v>
      </c>
      <c r="G48" s="281" t="s">
        <v>167</v>
      </c>
      <c r="H48" s="279">
        <f aca="true" t="shared" si="25" ref="H48:N48">$O$48</f>
        <v>1</v>
      </c>
      <c r="I48" s="279">
        <f t="shared" si="25"/>
        <v>1</v>
      </c>
      <c r="J48" s="279">
        <f t="shared" si="25"/>
        <v>1</v>
      </c>
      <c r="K48" s="279">
        <f t="shared" si="25"/>
        <v>1</v>
      </c>
      <c r="L48" s="279">
        <f t="shared" si="25"/>
        <v>1</v>
      </c>
      <c r="M48" s="279">
        <f t="shared" si="25"/>
        <v>1</v>
      </c>
      <c r="N48" s="279">
        <f t="shared" si="25"/>
        <v>1</v>
      </c>
      <c r="O48" s="282">
        <f>'DANH MUC NPL'!H47</f>
        <v>1</v>
      </c>
      <c r="P48" s="283">
        <v>0.03</v>
      </c>
      <c r="Q48" s="284">
        <f t="shared" si="6"/>
        <v>23484</v>
      </c>
      <c r="R48" s="287" t="s">
        <v>172</v>
      </c>
      <c r="S48" s="288"/>
      <c r="T48" s="4"/>
      <c r="U48" s="216">
        <f t="shared" si="23"/>
        <v>0.15789473684210525</v>
      </c>
      <c r="V48" s="4"/>
    </row>
    <row r="49" spans="1:22" s="5" customFormat="1" ht="14.25" customHeight="1">
      <c r="A49" s="163">
        <v>37</v>
      </c>
      <c r="B49" s="49" t="s">
        <v>91</v>
      </c>
      <c r="C49" s="268"/>
      <c r="D49" s="268"/>
      <c r="E49" s="214"/>
      <c r="F49" s="50" t="s">
        <v>92</v>
      </c>
      <c r="G49" s="281" t="s">
        <v>167</v>
      </c>
      <c r="H49" s="279">
        <f aca="true" t="shared" si="26" ref="H49:N49">$O$49</f>
        <v>0</v>
      </c>
      <c r="I49" s="279">
        <f t="shared" si="26"/>
        <v>0</v>
      </c>
      <c r="J49" s="279">
        <f t="shared" si="26"/>
        <v>0</v>
      </c>
      <c r="K49" s="279">
        <f t="shared" si="26"/>
        <v>0</v>
      </c>
      <c r="L49" s="279">
        <f t="shared" si="26"/>
        <v>0</v>
      </c>
      <c r="M49" s="279">
        <f t="shared" si="26"/>
        <v>0</v>
      </c>
      <c r="N49" s="279">
        <f t="shared" si="26"/>
        <v>0</v>
      </c>
      <c r="O49" s="282">
        <f>'DANH MUC NPL'!H48</f>
        <v>0</v>
      </c>
      <c r="P49" s="283">
        <v>0.03</v>
      </c>
      <c r="Q49" s="284">
        <f t="shared" si="6"/>
        <v>0</v>
      </c>
      <c r="R49" s="285" t="s">
        <v>19</v>
      </c>
      <c r="S49" s="288"/>
      <c r="T49" s="4"/>
      <c r="U49" s="216">
        <f t="shared" si="23"/>
        <v>0</v>
      </c>
      <c r="V49" s="4"/>
    </row>
    <row r="50" spans="1:22" s="5" customFormat="1" ht="14.25" customHeight="1">
      <c r="A50" s="163">
        <v>38</v>
      </c>
      <c r="B50" s="49" t="s">
        <v>93</v>
      </c>
      <c r="C50" s="268"/>
      <c r="D50" s="268"/>
      <c r="E50" s="214"/>
      <c r="F50" s="50" t="s">
        <v>94</v>
      </c>
      <c r="G50" s="281" t="s">
        <v>167</v>
      </c>
      <c r="H50" s="279">
        <f aca="true" t="shared" si="27" ref="H50:N50">$O$50</f>
        <v>0</v>
      </c>
      <c r="I50" s="279">
        <f t="shared" si="27"/>
        <v>0</v>
      </c>
      <c r="J50" s="279">
        <f t="shared" si="27"/>
        <v>0</v>
      </c>
      <c r="K50" s="279">
        <f t="shared" si="27"/>
        <v>0</v>
      </c>
      <c r="L50" s="279">
        <f t="shared" si="27"/>
        <v>0</v>
      </c>
      <c r="M50" s="279">
        <f t="shared" si="27"/>
        <v>0</v>
      </c>
      <c r="N50" s="279">
        <f t="shared" si="27"/>
        <v>0</v>
      </c>
      <c r="O50" s="282">
        <f>'DANH MUC NPL'!H49</f>
        <v>0</v>
      </c>
      <c r="P50" s="283">
        <v>0.03</v>
      </c>
      <c r="Q50" s="284">
        <f t="shared" si="6"/>
        <v>0</v>
      </c>
      <c r="R50" s="285" t="s">
        <v>19</v>
      </c>
      <c r="S50" s="288"/>
      <c r="T50" s="4"/>
      <c r="U50" s="216">
        <f t="shared" si="23"/>
        <v>0</v>
      </c>
      <c r="V50" s="4"/>
    </row>
    <row r="51" spans="1:22" s="5" customFormat="1" ht="14.25" customHeight="1">
      <c r="A51" s="163">
        <v>39</v>
      </c>
      <c r="B51" s="49" t="s">
        <v>95</v>
      </c>
      <c r="C51" s="268"/>
      <c r="D51" s="268"/>
      <c r="E51" s="214"/>
      <c r="F51" s="50" t="s">
        <v>96</v>
      </c>
      <c r="G51" s="281" t="s">
        <v>167</v>
      </c>
      <c r="H51" s="279">
        <f aca="true" t="shared" si="28" ref="H51:N51">$O$51</f>
        <v>1</v>
      </c>
      <c r="I51" s="279">
        <f t="shared" si="28"/>
        <v>1</v>
      </c>
      <c r="J51" s="279">
        <f t="shared" si="28"/>
        <v>1</v>
      </c>
      <c r="K51" s="279">
        <f t="shared" si="28"/>
        <v>1</v>
      </c>
      <c r="L51" s="279">
        <f t="shared" si="28"/>
        <v>1</v>
      </c>
      <c r="M51" s="279">
        <f t="shared" si="28"/>
        <v>1</v>
      </c>
      <c r="N51" s="279">
        <f t="shared" si="28"/>
        <v>1</v>
      </c>
      <c r="O51" s="282">
        <f>'DANH MUC NPL'!H50</f>
        <v>1</v>
      </c>
      <c r="P51" s="283">
        <v>0.03</v>
      </c>
      <c r="Q51" s="284">
        <f t="shared" si="6"/>
        <v>23484</v>
      </c>
      <c r="R51" s="285" t="s">
        <v>19</v>
      </c>
      <c r="S51" s="288"/>
      <c r="T51" s="4"/>
      <c r="U51" s="216">
        <f t="shared" si="23"/>
        <v>0.15789473684210525</v>
      </c>
      <c r="V51" s="4"/>
    </row>
    <row r="52" spans="1:22" s="5" customFormat="1" ht="14.25" customHeight="1">
      <c r="A52" s="163">
        <v>40</v>
      </c>
      <c r="B52" s="49" t="s">
        <v>97</v>
      </c>
      <c r="C52" s="268"/>
      <c r="D52" s="268"/>
      <c r="E52" s="214"/>
      <c r="F52" s="50" t="s">
        <v>98</v>
      </c>
      <c r="G52" s="281" t="s">
        <v>167</v>
      </c>
      <c r="H52" s="279">
        <f aca="true" t="shared" si="29" ref="H52:N52">$O$52</f>
        <v>0</v>
      </c>
      <c r="I52" s="279">
        <f t="shared" si="29"/>
        <v>0</v>
      </c>
      <c r="J52" s="279">
        <f t="shared" si="29"/>
        <v>0</v>
      </c>
      <c r="K52" s="279">
        <f t="shared" si="29"/>
        <v>0</v>
      </c>
      <c r="L52" s="279">
        <f t="shared" si="29"/>
        <v>0</v>
      </c>
      <c r="M52" s="279">
        <f t="shared" si="29"/>
        <v>0</v>
      </c>
      <c r="N52" s="279">
        <f t="shared" si="29"/>
        <v>0</v>
      </c>
      <c r="O52" s="282">
        <f>'DANH MUC NPL'!H51</f>
        <v>0</v>
      </c>
      <c r="P52" s="283">
        <v>0.03</v>
      </c>
      <c r="Q52" s="284">
        <f t="shared" si="6"/>
        <v>0</v>
      </c>
      <c r="R52" s="287" t="s">
        <v>172</v>
      </c>
      <c r="S52" s="288"/>
      <c r="T52" s="4"/>
      <c r="U52" s="216">
        <f t="shared" si="23"/>
        <v>0</v>
      </c>
      <c r="V52" s="4"/>
    </row>
    <row r="53" spans="1:22" s="5" customFormat="1" ht="14.25" customHeight="1">
      <c r="A53" s="163">
        <v>41</v>
      </c>
      <c r="B53" s="49" t="s">
        <v>99</v>
      </c>
      <c r="C53" s="268"/>
      <c r="D53" s="268"/>
      <c r="E53" s="214"/>
      <c r="F53" s="50" t="s">
        <v>100</v>
      </c>
      <c r="G53" s="281" t="s">
        <v>167</v>
      </c>
      <c r="H53" s="279">
        <f aca="true" t="shared" si="30" ref="H53:N53">$O$53</f>
        <v>0.084</v>
      </c>
      <c r="I53" s="279">
        <f t="shared" si="30"/>
        <v>0.084</v>
      </c>
      <c r="J53" s="279">
        <f t="shared" si="30"/>
        <v>0.084</v>
      </c>
      <c r="K53" s="279">
        <f t="shared" si="30"/>
        <v>0.084</v>
      </c>
      <c r="L53" s="279">
        <f t="shared" si="30"/>
        <v>0.084</v>
      </c>
      <c r="M53" s="279">
        <f t="shared" si="30"/>
        <v>0.084</v>
      </c>
      <c r="N53" s="279">
        <f t="shared" si="30"/>
        <v>0.084</v>
      </c>
      <c r="O53" s="282">
        <f>'DANH MUC NPL'!H52</f>
        <v>0.084</v>
      </c>
      <c r="P53" s="283">
        <v>0.03</v>
      </c>
      <c r="Q53" s="284">
        <f t="shared" si="6"/>
        <v>1972.6560000000004</v>
      </c>
      <c r="R53" s="287" t="s">
        <v>172</v>
      </c>
      <c r="S53" s="288"/>
      <c r="T53" s="4"/>
      <c r="U53" s="216">
        <f t="shared" si="23"/>
        <v>0.013263157894736843</v>
      </c>
      <c r="V53" s="4"/>
    </row>
    <row r="54" spans="1:22" s="5" customFormat="1" ht="14.25" customHeight="1">
      <c r="A54" s="163">
        <v>42</v>
      </c>
      <c r="B54" s="49" t="s">
        <v>101</v>
      </c>
      <c r="C54" s="268"/>
      <c r="D54" s="268"/>
      <c r="E54" s="214"/>
      <c r="F54" s="50" t="s">
        <v>102</v>
      </c>
      <c r="G54" s="281" t="s">
        <v>167</v>
      </c>
      <c r="H54" s="279">
        <f aca="true" t="shared" si="31" ref="H54:N54">$O$54</f>
        <v>1</v>
      </c>
      <c r="I54" s="279">
        <f t="shared" si="31"/>
        <v>1</v>
      </c>
      <c r="J54" s="279">
        <f t="shared" si="31"/>
        <v>1</v>
      </c>
      <c r="K54" s="279">
        <f t="shared" si="31"/>
        <v>1</v>
      </c>
      <c r="L54" s="279">
        <f t="shared" si="31"/>
        <v>1</v>
      </c>
      <c r="M54" s="279">
        <f t="shared" si="31"/>
        <v>1</v>
      </c>
      <c r="N54" s="279">
        <f t="shared" si="31"/>
        <v>1</v>
      </c>
      <c r="O54" s="282">
        <f>'DANH MUC NPL'!H53</f>
        <v>1</v>
      </c>
      <c r="P54" s="283">
        <v>0.03</v>
      </c>
      <c r="Q54" s="284">
        <f t="shared" si="6"/>
        <v>23484</v>
      </c>
      <c r="R54" s="285" t="s">
        <v>19</v>
      </c>
      <c r="S54" s="288"/>
      <c r="T54" s="4"/>
      <c r="U54" s="216">
        <f t="shared" si="23"/>
        <v>0.15789473684210525</v>
      </c>
      <c r="V54" s="4"/>
    </row>
    <row r="55" spans="1:22" s="5" customFormat="1" ht="14.25" customHeight="1">
      <c r="A55" s="163">
        <v>43</v>
      </c>
      <c r="B55" s="49" t="s">
        <v>103</v>
      </c>
      <c r="C55" s="268"/>
      <c r="D55" s="268"/>
      <c r="E55" s="214"/>
      <c r="F55" s="50" t="s">
        <v>104</v>
      </c>
      <c r="G55" s="281" t="s">
        <v>167</v>
      </c>
      <c r="H55" s="279">
        <f aca="true" t="shared" si="32" ref="H55:N55">$O$55</f>
        <v>0</v>
      </c>
      <c r="I55" s="279">
        <f t="shared" si="32"/>
        <v>0</v>
      </c>
      <c r="J55" s="279">
        <f t="shared" si="32"/>
        <v>0</v>
      </c>
      <c r="K55" s="279">
        <f t="shared" si="32"/>
        <v>0</v>
      </c>
      <c r="L55" s="279">
        <f t="shared" si="32"/>
        <v>0</v>
      </c>
      <c r="M55" s="279">
        <f t="shared" si="32"/>
        <v>0</v>
      </c>
      <c r="N55" s="279">
        <f t="shared" si="32"/>
        <v>0</v>
      </c>
      <c r="O55" s="282">
        <f>'DANH MUC NPL'!H54</f>
        <v>0</v>
      </c>
      <c r="P55" s="283">
        <v>0.03</v>
      </c>
      <c r="Q55" s="284">
        <f t="shared" si="6"/>
        <v>0</v>
      </c>
      <c r="R55" s="285" t="s">
        <v>19</v>
      </c>
      <c r="S55" s="288"/>
      <c r="T55" s="4"/>
      <c r="U55" s="216">
        <f t="shared" si="23"/>
        <v>0</v>
      </c>
      <c r="V55" s="4"/>
    </row>
    <row r="56" spans="1:22" s="5" customFormat="1" ht="14.25" customHeight="1">
      <c r="A56" s="163">
        <v>44</v>
      </c>
      <c r="B56" s="55" t="s">
        <v>105</v>
      </c>
      <c r="C56" s="268"/>
      <c r="D56" s="268"/>
      <c r="E56" s="214"/>
      <c r="F56" s="302" t="s">
        <v>106</v>
      </c>
      <c r="G56" s="289" t="s">
        <v>170</v>
      </c>
      <c r="H56" s="277">
        <f>K56*0.97</f>
        <v>0.97</v>
      </c>
      <c r="I56" s="277">
        <f>K56*0.98</f>
        <v>0.98</v>
      </c>
      <c r="J56" s="277">
        <f>K56*0.99</f>
        <v>0.99</v>
      </c>
      <c r="K56" s="277">
        <v>1</v>
      </c>
      <c r="L56" s="277">
        <f>K56*1.01</f>
        <v>1.01</v>
      </c>
      <c r="M56" s="277">
        <f>K56*1.02</f>
        <v>1.02</v>
      </c>
      <c r="N56" s="277">
        <f>K56*1.03</f>
        <v>1.03</v>
      </c>
      <c r="O56" s="282">
        <f>'DANH MUC NPL'!H55</f>
        <v>0</v>
      </c>
      <c r="P56" s="283">
        <v>0.03</v>
      </c>
      <c r="Q56" s="284">
        <f t="shared" si="6"/>
        <v>0</v>
      </c>
      <c r="R56" s="285" t="s">
        <v>19</v>
      </c>
      <c r="S56" s="288"/>
      <c r="T56" s="4"/>
      <c r="U56" s="216">
        <f t="shared" si="23"/>
        <v>0.15789473684210525</v>
      </c>
      <c r="V56" s="4"/>
    </row>
    <row r="57" spans="1:22" s="5" customFormat="1" ht="14.25" customHeight="1">
      <c r="A57" s="163">
        <v>45</v>
      </c>
      <c r="B57" s="55" t="s">
        <v>107</v>
      </c>
      <c r="C57" s="268"/>
      <c r="D57" s="268"/>
      <c r="E57" s="214"/>
      <c r="F57" s="302" t="s">
        <v>108</v>
      </c>
      <c r="G57" s="289" t="s">
        <v>166</v>
      </c>
      <c r="H57" s="277">
        <f>K57*0.97</f>
        <v>0.97</v>
      </c>
      <c r="I57" s="277">
        <f>K57*0.98</f>
        <v>0.98</v>
      </c>
      <c r="J57" s="277">
        <f>K57*0.99</f>
        <v>0.99</v>
      </c>
      <c r="K57" s="277">
        <v>1</v>
      </c>
      <c r="L57" s="277">
        <f>K57*1.01</f>
        <v>1.01</v>
      </c>
      <c r="M57" s="277">
        <f>K57*1.02</f>
        <v>1.02</v>
      </c>
      <c r="N57" s="277">
        <f>K57*1.03</f>
        <v>1.03</v>
      </c>
      <c r="O57" s="282">
        <f>'DANH MUC NPL'!H56</f>
        <v>0.681</v>
      </c>
      <c r="P57" s="283">
        <v>0.03</v>
      </c>
      <c r="Q57" s="284">
        <f t="shared" si="6"/>
        <v>15992.604000000003</v>
      </c>
      <c r="R57" s="285" t="s">
        <v>19</v>
      </c>
      <c r="S57" s="288"/>
      <c r="T57" s="4"/>
      <c r="U57" s="216">
        <f t="shared" si="23"/>
        <v>0.15789473684210525</v>
      </c>
      <c r="V57" s="4"/>
    </row>
    <row r="58" spans="1:22" s="5" customFormat="1" ht="14.25" customHeight="1">
      <c r="A58" s="163">
        <v>46</v>
      </c>
      <c r="B58" s="55" t="s">
        <v>109</v>
      </c>
      <c r="C58" s="268"/>
      <c r="D58" s="268"/>
      <c r="E58" s="214"/>
      <c r="F58" s="302" t="s">
        <v>110</v>
      </c>
      <c r="G58" s="289" t="s">
        <v>167</v>
      </c>
      <c r="H58" s="279">
        <f aca="true" t="shared" si="33" ref="H58:N58">$O$58</f>
        <v>0</v>
      </c>
      <c r="I58" s="279">
        <f t="shared" si="33"/>
        <v>0</v>
      </c>
      <c r="J58" s="279">
        <f t="shared" si="33"/>
        <v>0</v>
      </c>
      <c r="K58" s="279">
        <f t="shared" si="33"/>
        <v>0</v>
      </c>
      <c r="L58" s="279">
        <f t="shared" si="33"/>
        <v>0</v>
      </c>
      <c r="M58" s="279">
        <f t="shared" si="33"/>
        <v>0</v>
      </c>
      <c r="N58" s="279">
        <f t="shared" si="33"/>
        <v>0</v>
      </c>
      <c r="O58" s="282">
        <f>'DANH MUC NPL'!H57</f>
        <v>0</v>
      </c>
      <c r="P58" s="283">
        <v>0.03</v>
      </c>
      <c r="Q58" s="284">
        <f t="shared" si="6"/>
        <v>0</v>
      </c>
      <c r="R58" s="285" t="s">
        <v>19</v>
      </c>
      <c r="S58" s="288"/>
      <c r="T58" s="4"/>
      <c r="U58" s="216">
        <f t="shared" si="23"/>
        <v>0</v>
      </c>
      <c r="V58" s="4"/>
    </row>
    <row r="59" spans="1:22" s="5" customFormat="1" ht="14.25" customHeight="1">
      <c r="A59" s="163">
        <v>47</v>
      </c>
      <c r="B59" s="55"/>
      <c r="C59" s="268"/>
      <c r="D59" s="268"/>
      <c r="E59" s="214"/>
      <c r="F59" s="289"/>
      <c r="G59" s="289"/>
      <c r="H59" s="303"/>
      <c r="I59" s="303"/>
      <c r="J59" s="303"/>
      <c r="K59" s="303"/>
      <c r="L59" s="303"/>
      <c r="M59" s="303"/>
      <c r="N59" s="303"/>
      <c r="O59" s="304"/>
      <c r="P59" s="305"/>
      <c r="Q59" s="284"/>
      <c r="R59" s="285"/>
      <c r="S59" s="288"/>
      <c r="T59" s="4"/>
      <c r="U59" s="216">
        <f t="shared" si="23"/>
        <v>0</v>
      </c>
      <c r="V59" s="4"/>
    </row>
    <row r="60" spans="1:22" s="5" customFormat="1" ht="14.25" customHeight="1">
      <c r="A60" s="163">
        <v>48</v>
      </c>
      <c r="B60" s="55"/>
      <c r="C60" s="268"/>
      <c r="D60" s="268"/>
      <c r="E60" s="214"/>
      <c r="F60" s="289"/>
      <c r="G60" s="289"/>
      <c r="H60" s="303"/>
      <c r="I60" s="303"/>
      <c r="J60" s="303"/>
      <c r="K60" s="303"/>
      <c r="L60" s="303"/>
      <c r="M60" s="303"/>
      <c r="N60" s="303"/>
      <c r="O60" s="304"/>
      <c r="P60" s="305"/>
      <c r="Q60" s="284"/>
      <c r="R60" s="285"/>
      <c r="S60" s="288"/>
      <c r="T60" s="4"/>
      <c r="U60" s="216">
        <f t="shared" si="23"/>
        <v>0</v>
      </c>
      <c r="V60" s="4"/>
    </row>
    <row r="61" spans="1:22" s="5" customFormat="1" ht="14.25" customHeight="1">
      <c r="A61" s="163">
        <v>49</v>
      </c>
      <c r="B61" s="55"/>
      <c r="C61" s="268"/>
      <c r="D61" s="268"/>
      <c r="E61" s="214"/>
      <c r="F61" s="289"/>
      <c r="G61" s="289"/>
      <c r="H61" s="303"/>
      <c r="I61" s="303"/>
      <c r="J61" s="303"/>
      <c r="K61" s="303"/>
      <c r="L61" s="303"/>
      <c r="M61" s="303"/>
      <c r="N61" s="303"/>
      <c r="O61" s="304"/>
      <c r="P61" s="305"/>
      <c r="Q61" s="284"/>
      <c r="R61" s="285"/>
      <c r="S61" s="288"/>
      <c r="T61" s="4"/>
      <c r="U61" s="216">
        <f t="shared" si="23"/>
        <v>0</v>
      </c>
      <c r="V61" s="4"/>
    </row>
    <row r="62" spans="1:22" s="5" customFormat="1" ht="14.25" customHeight="1">
      <c r="A62" s="163">
        <v>10</v>
      </c>
      <c r="B62" s="122"/>
      <c r="C62" s="270"/>
      <c r="D62" s="270"/>
      <c r="E62" s="190"/>
      <c r="F62" s="302"/>
      <c r="G62" s="289"/>
      <c r="H62" s="306"/>
      <c r="I62" s="306"/>
      <c r="J62" s="306"/>
      <c r="K62" s="306"/>
      <c r="L62" s="306"/>
      <c r="M62" s="306"/>
      <c r="N62" s="306"/>
      <c r="O62" s="304"/>
      <c r="P62" s="307"/>
      <c r="Q62" s="284"/>
      <c r="R62" s="285"/>
      <c r="S62" s="288"/>
      <c r="T62" s="4"/>
      <c r="U62" s="216">
        <f t="shared" si="23"/>
        <v>0</v>
      </c>
      <c r="V62" s="4"/>
    </row>
    <row r="63" spans="1:19" ht="17.25" customHeight="1">
      <c r="A63" s="37"/>
      <c r="B63" s="37"/>
      <c r="C63" s="37"/>
      <c r="D63" s="37"/>
      <c r="E63" s="37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</row>
    <row r="64" spans="2:19" ht="14.25" customHeight="1">
      <c r="B64" s="194" t="s">
        <v>206</v>
      </c>
      <c r="C64" s="290">
        <f>$H$11</f>
        <v>1</v>
      </c>
      <c r="D64" s="290">
        <f>$I$11</f>
        <v>3</v>
      </c>
      <c r="E64" s="290">
        <f>$J$11</f>
        <v>5</v>
      </c>
      <c r="F64" s="290">
        <f>$K$11</f>
        <v>7</v>
      </c>
      <c r="G64" s="290">
        <f>$L$11</f>
        <v>9</v>
      </c>
      <c r="H64" s="290">
        <f>$M$11</f>
        <v>11</v>
      </c>
      <c r="I64" s="290">
        <f>$N$11</f>
        <v>13</v>
      </c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2:19" ht="13.5" customHeight="1">
      <c r="B65" s="191" t="s">
        <v>203</v>
      </c>
      <c r="C65" s="291">
        <f>$H$12</f>
        <v>300</v>
      </c>
      <c r="D65" s="291">
        <f>$I$12</f>
        <v>600</v>
      </c>
      <c r="E65" s="291">
        <f>$J$12</f>
        <v>600</v>
      </c>
      <c r="F65" s="291">
        <f>$K$12</f>
        <v>600</v>
      </c>
      <c r="G65" s="291">
        <f>$L$12</f>
        <v>600</v>
      </c>
      <c r="H65" s="291">
        <f>$M$12</f>
        <v>600</v>
      </c>
      <c r="I65" s="291">
        <f>$N$12</f>
        <v>300</v>
      </c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2:19" ht="13.5" customHeight="1">
      <c r="B66" s="191" t="s">
        <v>228</v>
      </c>
      <c r="C66" s="292" t="s">
        <v>237</v>
      </c>
      <c r="D66" s="292" t="s">
        <v>238</v>
      </c>
      <c r="E66" s="292" t="s">
        <v>239</v>
      </c>
      <c r="F66" s="293" t="s">
        <v>230</v>
      </c>
      <c r="G66" s="293" t="s">
        <v>240</v>
      </c>
      <c r="H66" s="293" t="s">
        <v>241</v>
      </c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2:19" ht="13.5" customHeight="1">
      <c r="B67" s="191" t="s">
        <v>229</v>
      </c>
      <c r="C67" s="292" t="s">
        <v>234</v>
      </c>
      <c r="D67" s="292" t="s">
        <v>235</v>
      </c>
      <c r="E67" s="292" t="s">
        <v>236</v>
      </c>
      <c r="F67" s="293" t="s">
        <v>231</v>
      </c>
      <c r="G67" s="293" t="s">
        <v>232</v>
      </c>
      <c r="H67" s="293" t="s">
        <v>233</v>
      </c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22" ht="16.5" customHeight="1">
      <c r="A68" s="149" t="s">
        <v>112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66"/>
      <c r="P68" s="167"/>
      <c r="Q68" s="149"/>
      <c r="R68" s="149"/>
      <c r="S68" s="149"/>
      <c r="T68" s="149"/>
      <c r="U68" s="149"/>
      <c r="V68" s="149"/>
    </row>
    <row r="69" spans="1:19" ht="23.25" customHeight="1">
      <c r="A69" s="149"/>
      <c r="B69" s="168" t="s">
        <v>113</v>
      </c>
      <c r="C69" s="169"/>
      <c r="D69" s="169"/>
      <c r="E69" s="169"/>
      <c r="F69" s="149"/>
      <c r="G69" s="149"/>
      <c r="H69" s="149"/>
      <c r="I69" s="149"/>
      <c r="J69" s="149"/>
      <c r="K69" s="149"/>
      <c r="L69" s="149"/>
      <c r="M69" s="149"/>
      <c r="N69" s="149"/>
      <c r="O69" s="170"/>
      <c r="P69" s="167"/>
      <c r="Q69" s="169" t="s">
        <v>113</v>
      </c>
      <c r="R69" s="169"/>
      <c r="S69" s="169"/>
    </row>
    <row r="70" spans="1:19" ht="14.25">
      <c r="A70" s="149"/>
      <c r="B70" s="168" t="s">
        <v>114</v>
      </c>
      <c r="C70" s="169"/>
      <c r="D70" s="169"/>
      <c r="E70" s="169"/>
      <c r="F70" s="149"/>
      <c r="G70" s="149"/>
      <c r="H70" s="149"/>
      <c r="I70" s="149"/>
      <c r="J70" s="149"/>
      <c r="K70" s="149"/>
      <c r="L70" s="149"/>
      <c r="M70" s="149"/>
      <c r="N70" s="149"/>
      <c r="O70" s="166"/>
      <c r="P70" s="167"/>
      <c r="Q70" s="169" t="s">
        <v>115</v>
      </c>
      <c r="R70" s="169"/>
      <c r="S70" s="169"/>
    </row>
    <row r="71" spans="1:19" ht="14.25">
      <c r="A71" s="149"/>
      <c r="B71" s="149" t="s">
        <v>116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66"/>
      <c r="P71" s="167"/>
      <c r="Q71" s="169" t="s">
        <v>117</v>
      </c>
      <c r="R71" s="169"/>
      <c r="S71" s="169"/>
    </row>
    <row r="72" spans="1:22" ht="14.25">
      <c r="A72" s="149"/>
      <c r="B72" s="169"/>
      <c r="C72" s="169"/>
      <c r="D72" s="169"/>
      <c r="E72" s="169"/>
      <c r="F72" s="149"/>
      <c r="G72" s="149"/>
      <c r="H72" s="149"/>
      <c r="I72" s="149"/>
      <c r="J72" s="149"/>
      <c r="K72" s="149"/>
      <c r="L72" s="149"/>
      <c r="M72" s="149"/>
      <c r="N72" s="149"/>
      <c r="O72" s="166"/>
      <c r="P72" s="167"/>
      <c r="Q72" s="149"/>
      <c r="R72" s="149"/>
      <c r="S72" s="149"/>
      <c r="T72" s="149"/>
      <c r="U72" s="149"/>
      <c r="V72" s="169"/>
    </row>
    <row r="73" spans="1:22" ht="14.25" customHeight="1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66"/>
      <c r="P73" s="167"/>
      <c r="Q73" s="149"/>
      <c r="R73" s="149"/>
      <c r="S73" s="169"/>
      <c r="T73" s="169"/>
      <c r="U73" s="169"/>
      <c r="V73" s="169"/>
    </row>
    <row r="74" spans="1:22" ht="14.2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66"/>
      <c r="P74" s="169"/>
      <c r="Q74" s="167"/>
      <c r="R74" s="149"/>
      <c r="S74" s="149"/>
      <c r="T74" s="149"/>
      <c r="U74" s="149"/>
      <c r="V74" s="149"/>
    </row>
    <row r="75" spans="1:22" ht="12" customHeight="1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66"/>
      <c r="P75" s="167"/>
      <c r="Q75" s="149"/>
      <c r="R75" s="149"/>
      <c r="S75" s="149"/>
      <c r="T75" s="149"/>
      <c r="U75" s="149"/>
      <c r="V75" s="149"/>
    </row>
    <row r="76" spans="1:22" ht="14.2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66"/>
      <c r="P76" s="167"/>
      <c r="Q76" s="149"/>
      <c r="R76" s="149"/>
      <c r="S76" s="342"/>
      <c r="T76" s="342"/>
      <c r="U76" s="342"/>
      <c r="V76" s="342"/>
    </row>
  </sheetData>
  <mergeCells count="12">
    <mergeCell ref="A10:A12"/>
    <mergeCell ref="F10:F12"/>
    <mergeCell ref="B10:E12"/>
    <mergeCell ref="S76:V76"/>
    <mergeCell ref="G10:G12"/>
    <mergeCell ref="Q11:Q12"/>
    <mergeCell ref="R10:R12"/>
    <mergeCell ref="S10:S12"/>
    <mergeCell ref="O11:O12"/>
    <mergeCell ref="P11:P12"/>
    <mergeCell ref="H10:N10"/>
    <mergeCell ref="O10:Q10"/>
  </mergeCells>
  <printOptions horizontalCentered="1"/>
  <pageMargins left="0.23" right="0" top="0.19" bottom="0.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A1" sqref="A1"/>
    </sheetView>
  </sheetViews>
  <sheetFormatPr defaultColWidth="8.796875" defaultRowHeight="15"/>
  <cols>
    <col min="1" max="1" width="34.8984375" style="126" customWidth="1"/>
    <col min="2" max="2" width="1.4921875" style="126" customWidth="1"/>
    <col min="3" max="3" width="37.5" style="126" customWidth="1"/>
    <col min="4" max="16384" width="10.59765625" style="126" customWidth="1"/>
  </cols>
  <sheetData>
    <row r="1" spans="1:3" ht="12.75">
      <c r="A1" s="125" t="s">
        <v>215</v>
      </c>
      <c r="C1" s="126" t="b">
        <f>"Deleted By K"</f>
        <v>1</v>
      </c>
    </row>
    <row r="2" ht="13.5" thickBot="1">
      <c r="A2" s="125" t="s">
        <v>199</v>
      </c>
    </row>
    <row r="3" spans="1:3" ht="13.5" thickBot="1">
      <c r="A3" s="127" t="s">
        <v>183</v>
      </c>
      <c r="C3" s="128" t="s">
        <v>184</v>
      </c>
    </row>
    <row r="4" spans="1:3" ht="12.75">
      <c r="A4" s="127">
        <v>3</v>
      </c>
      <c r="C4" s="129" t="e">
        <f>"Delete"</f>
        <v>#N/A</v>
      </c>
    </row>
    <row r="5" ht="12.75">
      <c r="C5" s="129" t="b">
        <f>"Deleted By K"</f>
        <v>1</v>
      </c>
    </row>
    <row r="6" ht="13.5" thickBot="1">
      <c r="C6" s="129" t="b">
        <f>"Deleted By"</f>
        <v>1</v>
      </c>
    </row>
    <row r="7" spans="1:3" ht="12.75">
      <c r="A7" s="130" t="s">
        <v>185</v>
      </c>
      <c r="C7" s="129" t="b">
        <f>"D"</f>
        <v>1</v>
      </c>
    </row>
    <row r="8" spans="1:3" ht="12.75">
      <c r="A8" s="131" t="s">
        <v>186</v>
      </c>
      <c r="C8" s="129" t="b">
        <f>""</f>
        <v>0</v>
      </c>
    </row>
    <row r="9" spans="1:3" ht="12.75">
      <c r="A9" s="132" t="s">
        <v>187</v>
      </c>
      <c r="C9" s="129" t="b">
        <f>"Del"</f>
        <v>1</v>
      </c>
    </row>
    <row r="10" spans="1:3" ht="12.75">
      <c r="A10" s="131" t="s">
        <v>188</v>
      </c>
      <c r="C10" s="129" t="e">
        <f>"Delete"</f>
        <v>#N/A</v>
      </c>
    </row>
    <row r="11" spans="1:3" ht="13.5" thickBot="1">
      <c r="A11" s="133" t="s">
        <v>189</v>
      </c>
      <c r="C11" s="129" t="b">
        <f>"Deleted By Kaspersky Lab A"</f>
        <v>1</v>
      </c>
    </row>
    <row r="12" ht="12.75">
      <c r="C12" s="129" t="b">
        <f>"Deleted By Kaspersky Lab AV "</f>
        <v>1</v>
      </c>
    </row>
    <row r="13" ht="13.5" thickBot="1">
      <c r="C13" s="129" t="b">
        <f>"Deleted By K"</f>
        <v>1</v>
      </c>
    </row>
    <row r="14" spans="1:3" ht="13.5" thickBot="1">
      <c r="A14" s="128" t="s">
        <v>190</v>
      </c>
      <c r="C14" s="134" t="b">
        <f>"D"</f>
        <v>1</v>
      </c>
    </row>
    <row r="15" ht="12.75">
      <c r="A15" s="129" t="b">
        <f>"Deleted By Kaspersky Lab AV Deleted By K"</f>
        <v>1</v>
      </c>
    </row>
    <row r="16" ht="13.5" thickBot="1">
      <c r="A16" s="129" t="b">
        <f>"Deleted By Kaspersky Lab AV Deleted By Kaspersky Lab AV Deleted B"</f>
        <v>1</v>
      </c>
    </row>
    <row r="17" spans="1:3" ht="13.5" thickBot="1">
      <c r="A17" s="134" t="b">
        <f>"D"</f>
        <v>1</v>
      </c>
      <c r="C17" s="128" t="s">
        <v>191</v>
      </c>
    </row>
    <row r="18" ht="12.75">
      <c r="C18" s="129" t="b">
        <f>"Deleted By Kaspersky Lab AV Deleted By "</f>
        <v>1</v>
      </c>
    </row>
    <row r="19" ht="12.75">
      <c r="C19" s="129" t="b">
        <f>"Deleted By Kaspersky Lab A"</f>
        <v>1</v>
      </c>
    </row>
    <row r="20" spans="1:3" ht="12.75">
      <c r="A20" s="135" t="s">
        <v>192</v>
      </c>
      <c r="C20" s="129" t="b">
        <f>"Deleted By Kaspersky "</f>
        <v>1</v>
      </c>
    </row>
    <row r="21" spans="1:3" ht="12.75">
      <c r="A21" s="136">
        <f>"Deleted By Kaspersky Lab AV Deleted By"</f>
        <v>0</v>
      </c>
      <c r="C21" s="129" t="b">
        <f>"Deleted By Kaspersky "</f>
        <v>1</v>
      </c>
    </row>
    <row r="22" spans="1:3" ht="12.75">
      <c r="A22" s="129" t="b">
        <f>"Deleted "</f>
        <v>1</v>
      </c>
      <c r="C22" s="129" t="b">
        <f>"Deleted By Kaspersky Lab AV Deleted By "</f>
        <v>1</v>
      </c>
    </row>
    <row r="23" spans="1:3" ht="12.75">
      <c r="A23" s="129" t="b">
        <f>"Deleted By"</f>
        <v>1</v>
      </c>
      <c r="C23" s="134" t="b">
        <f>"D"</f>
        <v>1</v>
      </c>
    </row>
    <row r="24" ht="12.75">
      <c r="A24" s="129" t="b">
        <f>"D"</f>
        <v>1</v>
      </c>
    </row>
    <row r="25" ht="12.75">
      <c r="A25" s="129" t="b">
        <f>""</f>
        <v>0</v>
      </c>
    </row>
    <row r="26" spans="1:3" ht="13.5" thickBot="1">
      <c r="A26" s="129" t="b">
        <f>"Dele"</f>
        <v>1</v>
      </c>
      <c r="C26" s="137" t="s">
        <v>193</v>
      </c>
    </row>
    <row r="27" spans="1:3" ht="12.75">
      <c r="A27" s="129" t="b">
        <f>"Dele"</f>
        <v>1</v>
      </c>
      <c r="C27" s="129" t="e">
        <f>"Delete"</f>
        <v>#N/A</v>
      </c>
    </row>
    <row r="28" spans="1:3" ht="12.75">
      <c r="A28" s="129" t="b">
        <f>"Dele"</f>
        <v>1</v>
      </c>
      <c r="C28" s="129" t="b">
        <f>"Deleted "</f>
        <v>1</v>
      </c>
    </row>
    <row r="29" spans="1:3" ht="12.75">
      <c r="A29" s="129" t="b">
        <f>"D"</f>
        <v>1</v>
      </c>
      <c r="C29" s="129" t="b">
        <f>"Deleted By"</f>
        <v>1</v>
      </c>
    </row>
    <row r="30" spans="1:3" ht="12.75">
      <c r="A30" s="129" t="e">
        <f>"Delete"</f>
        <v>#N/A</v>
      </c>
      <c r="C30" s="129" t="b">
        <f>"D"</f>
        <v>1</v>
      </c>
    </row>
    <row r="31" spans="1:3" ht="12.75">
      <c r="A31" s="129" t="b">
        <f>"Deleted By Kasper"</f>
        <v>1</v>
      </c>
      <c r="C31" s="129" t="b">
        <f>"Del"</f>
        <v>1</v>
      </c>
    </row>
    <row r="32" spans="1:3" ht="12.75">
      <c r="A32" s="129" t="b">
        <f>"Deleted By Kaspersky"</f>
        <v>1</v>
      </c>
      <c r="C32" s="129" t="b">
        <f>"D"</f>
        <v>1</v>
      </c>
    </row>
    <row r="33" spans="1:3" ht="12.75">
      <c r="A33" s="129" t="b">
        <f>"Deleted By Kaspersk"</f>
        <v>1</v>
      </c>
      <c r="C33" s="129" t="e">
        <f>"Delete"</f>
        <v>#N/A</v>
      </c>
    </row>
    <row r="34" spans="1:3" ht="12.75">
      <c r="A34" s="129" t="b">
        <f>"Deleted By Kaspersky"</f>
        <v>1</v>
      </c>
      <c r="C34" s="129" t="e">
        <f>"Deleted By Kasper"</f>
        <v>#VALUE!</v>
      </c>
    </row>
    <row r="35" spans="1:3" ht="12.75">
      <c r="A35" s="129" t="b">
        <f>"Deleted By Kaspers"</f>
        <v>1</v>
      </c>
      <c r="C35" s="129" t="e">
        <f>""</f>
        <v>#VALUE!</v>
      </c>
    </row>
    <row r="36" spans="1:3" ht="12.75">
      <c r="A36" s="129" t="b">
        <f>"D"</f>
        <v>1</v>
      </c>
      <c r="C36" s="134" t="b">
        <f>"D"</f>
        <v>1</v>
      </c>
    </row>
    <row r="37" ht="12.75">
      <c r="A37" s="129" t="b">
        <f>"D"</f>
        <v>1</v>
      </c>
    </row>
    <row r="38" ht="12.75">
      <c r="A38" s="129" t="b">
        <f>"D"</f>
        <v>1</v>
      </c>
    </row>
    <row r="39" spans="1:3" ht="12.75">
      <c r="A39" s="129" t="b">
        <f>"Delete"</f>
        <v>1</v>
      </c>
      <c r="C39" s="136" t="b">
        <f>"Deleted By Kaspersky"</f>
        <v>1</v>
      </c>
    </row>
    <row r="40" spans="1:3" ht="12.75">
      <c r="A40" s="129" t="b">
        <f>"D"</f>
        <v>1</v>
      </c>
      <c r="C40" s="129" t="b">
        <f>"Deleted By Kaspersky Lab AV Deleted By Kaspersky Lab AV Dele"</f>
        <v>1</v>
      </c>
    </row>
    <row r="41" spans="1:3" ht="12.75">
      <c r="A41" s="134" t="b">
        <f>"D"</f>
        <v>1</v>
      </c>
      <c r="C41" s="134" t="b">
        <f>"D"</f>
        <v>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85" zoomScaleNormal="85" workbookViewId="0" topLeftCell="A3">
      <selection activeCell="A3" sqref="A3"/>
    </sheetView>
  </sheetViews>
  <sheetFormatPr defaultColWidth="8.796875" defaultRowHeight="15"/>
  <cols>
    <col min="1" max="1" width="4.19921875" style="4" customWidth="1"/>
    <col min="2" max="2" width="19.8984375" style="4" customWidth="1"/>
    <col min="3" max="3" width="14" style="4" customWidth="1"/>
    <col min="4" max="4" width="4.19921875" style="4" customWidth="1"/>
    <col min="5" max="5" width="6" style="4" customWidth="1"/>
    <col min="6" max="11" width="6.69921875" style="4" customWidth="1"/>
    <col min="12" max="12" width="9.69921875" style="4" customWidth="1"/>
    <col min="13" max="13" width="6.8984375" style="4" customWidth="1"/>
    <col min="14" max="14" width="11.8984375" style="4" customWidth="1"/>
    <col min="15" max="15" width="9" style="4" customWidth="1"/>
    <col min="16" max="16" width="9.3984375" style="4" customWidth="1"/>
    <col min="17" max="17" width="8" style="4" customWidth="1"/>
    <col min="18" max="18" width="11.8984375" style="4" customWidth="1"/>
    <col min="19" max="16384" width="8" style="4" customWidth="1"/>
  </cols>
  <sheetData>
    <row r="1" spans="1:19" ht="24" customHeight="1">
      <c r="A1" s="1">
        <v>2</v>
      </c>
      <c r="B1" s="1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s="5" customFormat="1" ht="14.25" customHeight="1">
      <c r="A2" s="4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"/>
      <c r="P2" s="8" t="s">
        <v>0</v>
      </c>
      <c r="Q2" s="4"/>
      <c r="R2" s="4"/>
      <c r="S2" s="4"/>
    </row>
    <row r="3" spans="1:19" s="5" customFormat="1" ht="24" customHeight="1">
      <c r="A3" s="149" t="s">
        <v>225</v>
      </c>
      <c r="B3" s="150"/>
      <c r="C3" s="150"/>
      <c r="D3" s="149" t="s">
        <v>1</v>
      </c>
      <c r="E3" s="151"/>
      <c r="F3" s="151"/>
      <c r="G3" s="151"/>
      <c r="H3" s="151"/>
      <c r="I3" s="151"/>
      <c r="J3" s="151"/>
      <c r="K3" s="151"/>
      <c r="L3" s="151"/>
      <c r="M3" s="149" t="s">
        <v>2</v>
      </c>
      <c r="N3" s="4"/>
      <c r="O3" s="4"/>
      <c r="P3" s="152"/>
      <c r="Q3" s="4"/>
      <c r="R3" s="4"/>
      <c r="S3" s="4"/>
    </row>
    <row r="4" spans="1:19" s="5" customFormat="1" ht="15" customHeight="1">
      <c r="A4" s="149" t="s">
        <v>3</v>
      </c>
      <c r="B4" s="150"/>
      <c r="C4" s="15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52"/>
      <c r="Q4" s="4"/>
      <c r="R4" s="4"/>
      <c r="S4" s="4"/>
    </row>
    <row r="5" spans="1:19" s="5" customFormat="1" ht="15" customHeight="1">
      <c r="A5" s="149" t="s">
        <v>201</v>
      </c>
      <c r="B5" s="150"/>
      <c r="C5" s="150"/>
      <c r="D5" s="153"/>
      <c r="E5" s="117" t="s">
        <v>4</v>
      </c>
      <c r="F5" s="4"/>
      <c r="G5" s="4"/>
      <c r="H5" s="4"/>
      <c r="I5" s="4"/>
      <c r="J5" s="4"/>
      <c r="K5" s="4"/>
      <c r="L5" s="151"/>
      <c r="M5" s="154"/>
      <c r="N5" s="4"/>
      <c r="O5" s="4"/>
      <c r="P5" s="155"/>
      <c r="Q5" s="4"/>
      <c r="R5" s="4"/>
      <c r="S5" s="4"/>
    </row>
    <row r="6" spans="1:19" s="5" customFormat="1" ht="15" customHeight="1">
      <c r="A6" s="149" t="s">
        <v>202</v>
      </c>
      <c r="B6" s="150"/>
      <c r="C6" s="150"/>
      <c r="D6" s="153"/>
      <c r="E6" s="4"/>
      <c r="F6" s="4"/>
      <c r="G6" s="4"/>
      <c r="H6" s="4"/>
      <c r="I6" s="4"/>
      <c r="J6" s="4"/>
      <c r="K6" s="4"/>
      <c r="L6" s="151"/>
      <c r="M6" s="154"/>
      <c r="N6" s="4"/>
      <c r="O6" s="4"/>
      <c r="P6" s="155"/>
      <c r="Q6" s="4"/>
      <c r="R6" s="4"/>
      <c r="S6" s="4"/>
    </row>
    <row r="7" spans="1:19" s="5" customFormat="1" ht="15" customHeight="1">
      <c r="A7" s="156" t="s">
        <v>5</v>
      </c>
      <c r="B7" s="150"/>
      <c r="C7" s="150"/>
      <c r="D7" s="153"/>
      <c r="E7" s="4"/>
      <c r="F7" s="4"/>
      <c r="G7" s="4"/>
      <c r="H7" s="4"/>
      <c r="I7" s="4"/>
      <c r="J7" s="4"/>
      <c r="K7" s="4"/>
      <c r="L7" s="4"/>
      <c r="M7" s="154"/>
      <c r="N7" s="4"/>
      <c r="O7" s="4"/>
      <c r="P7" s="152"/>
      <c r="Q7" s="4"/>
      <c r="R7" s="4"/>
      <c r="S7" s="4"/>
    </row>
    <row r="8" spans="1:19" s="5" customFormat="1" ht="15" customHeight="1">
      <c r="A8" s="149" t="s">
        <v>198</v>
      </c>
      <c r="B8" s="150"/>
      <c r="C8" s="150"/>
      <c r="D8" s="153"/>
      <c r="E8" s="151"/>
      <c r="F8" s="151"/>
      <c r="G8" s="151"/>
      <c r="H8" s="151"/>
      <c r="I8" s="151"/>
      <c r="J8" s="151"/>
      <c r="K8" s="151"/>
      <c r="L8" s="151"/>
      <c r="M8" s="154"/>
      <c r="N8" s="4"/>
      <c r="O8" s="4"/>
      <c r="P8" s="152"/>
      <c r="Q8" s="4"/>
      <c r="R8" s="4"/>
      <c r="S8" s="4"/>
    </row>
    <row r="9" spans="1:19" s="5" customFormat="1" ht="25.5" customHeight="1">
      <c r="A9" s="157" t="s">
        <v>178</v>
      </c>
      <c r="B9" s="158"/>
      <c r="C9" s="158" t="str">
        <f>'DANH MUC NPL'!F9</f>
        <v>IC7P-108T-a</v>
      </c>
      <c r="D9" s="159"/>
      <c r="E9" s="160"/>
      <c r="F9" s="160"/>
      <c r="G9" s="160"/>
      <c r="H9" s="160"/>
      <c r="I9" s="160"/>
      <c r="J9" s="160"/>
      <c r="K9" s="160"/>
      <c r="L9" s="160"/>
      <c r="M9" s="161" t="s">
        <v>6</v>
      </c>
      <c r="N9" s="162">
        <f>'DANH MUC NPL'!F10</f>
        <v>600</v>
      </c>
      <c r="O9" s="142" t="s">
        <v>7</v>
      </c>
      <c r="P9" s="157"/>
      <c r="Q9" s="4"/>
      <c r="R9" s="4"/>
      <c r="S9" s="4"/>
    </row>
    <row r="10" spans="1:19" s="5" customFormat="1" ht="15.75" customHeight="1">
      <c r="A10" s="353" t="s">
        <v>8</v>
      </c>
      <c r="B10" s="357" t="s">
        <v>9</v>
      </c>
      <c r="C10" s="358"/>
      <c r="D10" s="356" t="s">
        <v>10</v>
      </c>
      <c r="E10" s="343" t="s">
        <v>11</v>
      </c>
      <c r="F10" s="357" t="s">
        <v>194</v>
      </c>
      <c r="G10" s="362"/>
      <c r="H10" s="362"/>
      <c r="I10" s="362"/>
      <c r="J10" s="362"/>
      <c r="K10" s="358"/>
      <c r="L10" s="363" t="s">
        <v>12</v>
      </c>
      <c r="M10" s="364"/>
      <c r="N10" s="364"/>
      <c r="O10" s="359" t="s">
        <v>13</v>
      </c>
      <c r="P10" s="359" t="s">
        <v>14</v>
      </c>
      <c r="Q10" s="4"/>
      <c r="R10" s="4"/>
      <c r="S10" s="4"/>
    </row>
    <row r="11" spans="1:19" s="5" customFormat="1" ht="15.75" customHeight="1">
      <c r="A11" s="354"/>
      <c r="B11" s="357"/>
      <c r="C11" s="358"/>
      <c r="D11" s="344"/>
      <c r="E11" s="344"/>
      <c r="F11" s="245">
        <v>14</v>
      </c>
      <c r="G11" s="245">
        <v>16</v>
      </c>
      <c r="H11" s="245">
        <v>18</v>
      </c>
      <c r="I11" s="138">
        <v>20</v>
      </c>
      <c r="J11" s="245">
        <v>22</v>
      </c>
      <c r="K11" s="246">
        <v>24</v>
      </c>
      <c r="L11" s="348" t="s">
        <v>214</v>
      </c>
      <c r="M11" s="360" t="s">
        <v>200</v>
      </c>
      <c r="N11" s="345" t="s">
        <v>195</v>
      </c>
      <c r="O11" s="359"/>
      <c r="P11" s="359"/>
      <c r="Q11" s="4"/>
      <c r="R11" s="4"/>
      <c r="S11" s="4"/>
    </row>
    <row r="12" spans="1:19" s="5" customFormat="1" ht="15.75" customHeight="1">
      <c r="A12" s="355"/>
      <c r="B12" s="357"/>
      <c r="C12" s="358"/>
      <c r="D12" s="344"/>
      <c r="E12" s="344"/>
      <c r="F12" s="140">
        <v>75</v>
      </c>
      <c r="G12" s="140">
        <v>75</v>
      </c>
      <c r="H12" s="140">
        <v>150</v>
      </c>
      <c r="I12" s="247">
        <v>150</v>
      </c>
      <c r="J12" s="140">
        <v>75</v>
      </c>
      <c r="K12" s="140">
        <v>75</v>
      </c>
      <c r="L12" s="349"/>
      <c r="M12" s="361"/>
      <c r="N12" s="346"/>
      <c r="O12" s="359"/>
      <c r="P12" s="359"/>
      <c r="Q12" s="4"/>
      <c r="R12" s="4"/>
      <c r="S12" s="4"/>
    </row>
    <row r="13" spans="1:19" s="5" customFormat="1" ht="15" customHeight="1">
      <c r="A13" s="163">
        <v>1</v>
      </c>
      <c r="B13" s="32" t="s">
        <v>22</v>
      </c>
      <c r="C13" s="188"/>
      <c r="D13" s="164" t="s">
        <v>23</v>
      </c>
      <c r="E13" s="114" t="s">
        <v>164</v>
      </c>
      <c r="F13" s="211">
        <f>I13*0.97</f>
        <v>1.3890399999999998</v>
      </c>
      <c r="G13" s="211">
        <f>I13*0.98</f>
        <v>1.40336</v>
      </c>
      <c r="H13" s="211">
        <f>I13*0.99</f>
        <v>1.4176799999999998</v>
      </c>
      <c r="I13" s="211">
        <v>1.432</v>
      </c>
      <c r="J13" s="211">
        <f>I13*1.01</f>
        <v>1.44632</v>
      </c>
      <c r="K13" s="211">
        <f>I13*1.02</f>
        <v>1.46064</v>
      </c>
      <c r="L13" s="251">
        <v>1.432</v>
      </c>
      <c r="M13" s="196">
        <v>0.03</v>
      </c>
      <c r="N13" s="213">
        <f>L13*1.03*$N$9</f>
        <v>884.976</v>
      </c>
      <c r="O13" s="197" t="s">
        <v>19</v>
      </c>
      <c r="P13" s="198"/>
      <c r="Q13" s="4"/>
      <c r="R13" s="215">
        <f>(F13*$F$12+G13*$G$12+H13*$H$12+I13*$I$12+J13*$J$12+K13*$K$12)/$N$9</f>
        <v>1.4248399999999999</v>
      </c>
      <c r="S13" s="4"/>
    </row>
    <row r="14" spans="1:19" s="5" customFormat="1" ht="15" customHeight="1">
      <c r="A14" s="163">
        <v>2</v>
      </c>
      <c r="B14" s="32" t="s">
        <v>48</v>
      </c>
      <c r="C14" s="188"/>
      <c r="D14" s="164" t="s">
        <v>49</v>
      </c>
      <c r="E14" s="114" t="s">
        <v>165</v>
      </c>
      <c r="F14" s="211">
        <f>I14*0.97</f>
        <v>336.30773</v>
      </c>
      <c r="G14" s="211">
        <f>I14*0.98</f>
        <v>339.77482</v>
      </c>
      <c r="H14" s="211">
        <f>I14*0.99</f>
        <v>343.24191</v>
      </c>
      <c r="I14" s="211">
        <v>346.709</v>
      </c>
      <c r="J14" s="211">
        <f>I14*1.01</f>
        <v>350.17609</v>
      </c>
      <c r="K14" s="211">
        <f>I14*1.02</f>
        <v>353.64318000000003</v>
      </c>
      <c r="L14" s="263">
        <v>344.975006</v>
      </c>
      <c r="M14" s="199">
        <v>0.03</v>
      </c>
      <c r="N14" s="213">
        <f>L14*1.03*$N$9</f>
        <v>213194.55370800002</v>
      </c>
      <c r="O14" s="163" t="s">
        <v>172</v>
      </c>
      <c r="P14" s="198"/>
      <c r="Q14" s="4"/>
      <c r="R14" s="261">
        <f>(F14*$F$12+G14*$G$12+H14*$H$12+I14*$I$12+J14*$J$12+K14*$K$12)/$N$9</f>
        <v>344.975455</v>
      </c>
      <c r="S14" s="4"/>
    </row>
    <row r="15" spans="1:19" s="5" customFormat="1" ht="15" customHeight="1">
      <c r="A15" s="163">
        <v>3</v>
      </c>
      <c r="B15" s="32" t="s">
        <v>50</v>
      </c>
      <c r="C15" s="188"/>
      <c r="D15" s="164" t="s">
        <v>51</v>
      </c>
      <c r="E15" s="114" t="s">
        <v>167</v>
      </c>
      <c r="F15" s="250">
        <v>1</v>
      </c>
      <c r="G15" s="250">
        <v>1</v>
      </c>
      <c r="H15" s="250">
        <v>1</v>
      </c>
      <c r="I15" s="250">
        <v>1</v>
      </c>
      <c r="J15" s="250">
        <v>1</v>
      </c>
      <c r="K15" s="250">
        <v>1</v>
      </c>
      <c r="L15" s="252">
        <f>'DANH MUC NPL'!F28</f>
        <v>1</v>
      </c>
      <c r="M15" s="199">
        <v>0.03</v>
      </c>
      <c r="N15" s="195">
        <f aca="true" t="shared" si="0" ref="N15:N23">L15*1.03*$N$9</f>
        <v>618</v>
      </c>
      <c r="O15" s="197" t="s">
        <v>19</v>
      </c>
      <c r="P15" s="198"/>
      <c r="Q15" s="4"/>
      <c r="R15" s="4"/>
      <c r="S15" s="4"/>
    </row>
    <row r="16" spans="1:19" s="5" customFormat="1" ht="15" customHeight="1">
      <c r="A16" s="163">
        <v>4</v>
      </c>
      <c r="B16" s="32" t="s">
        <v>65</v>
      </c>
      <c r="C16" s="188"/>
      <c r="D16" s="164" t="s">
        <v>66</v>
      </c>
      <c r="E16" s="114" t="s">
        <v>167</v>
      </c>
      <c r="F16" s="250">
        <v>2</v>
      </c>
      <c r="G16" s="250">
        <v>2</v>
      </c>
      <c r="H16" s="250">
        <v>2</v>
      </c>
      <c r="I16" s="250">
        <v>2</v>
      </c>
      <c r="J16" s="250">
        <v>2</v>
      </c>
      <c r="K16" s="250">
        <v>2</v>
      </c>
      <c r="L16" s="252">
        <f>'DANH MUC NPL'!F35</f>
        <v>2</v>
      </c>
      <c r="M16" s="199">
        <v>0.03</v>
      </c>
      <c r="N16" s="195">
        <f t="shared" si="0"/>
        <v>1236</v>
      </c>
      <c r="O16" s="197" t="s">
        <v>19</v>
      </c>
      <c r="P16" s="200"/>
      <c r="Q16" s="4"/>
      <c r="R16" s="4"/>
      <c r="S16" s="4"/>
    </row>
    <row r="17" spans="1:19" s="5" customFormat="1" ht="15" customHeight="1">
      <c r="A17" s="163">
        <v>5</v>
      </c>
      <c r="B17" s="32" t="s">
        <v>75</v>
      </c>
      <c r="C17" s="188"/>
      <c r="D17" s="164" t="s">
        <v>76</v>
      </c>
      <c r="E17" s="114" t="s">
        <v>167</v>
      </c>
      <c r="F17" s="250">
        <v>1</v>
      </c>
      <c r="G17" s="250">
        <v>1</v>
      </c>
      <c r="H17" s="250">
        <v>1</v>
      </c>
      <c r="I17" s="250">
        <v>1</v>
      </c>
      <c r="J17" s="250">
        <v>1</v>
      </c>
      <c r="K17" s="250">
        <v>1</v>
      </c>
      <c r="L17" s="252">
        <f>'DANH MUC NPL'!F40</f>
        <v>1</v>
      </c>
      <c r="M17" s="199">
        <v>0.03</v>
      </c>
      <c r="N17" s="195">
        <f t="shared" si="0"/>
        <v>618</v>
      </c>
      <c r="O17" s="197" t="s">
        <v>19</v>
      </c>
      <c r="P17" s="200"/>
      <c r="Q17" s="4"/>
      <c r="R17" s="4"/>
      <c r="S17" s="4"/>
    </row>
    <row r="18" spans="1:19" s="5" customFormat="1" ht="15" customHeight="1">
      <c r="A18" s="163">
        <v>6</v>
      </c>
      <c r="B18" s="32" t="s">
        <v>77</v>
      </c>
      <c r="C18" s="188"/>
      <c r="D18" s="164" t="s">
        <v>78</v>
      </c>
      <c r="E18" s="114" t="s">
        <v>167</v>
      </c>
      <c r="F18" s="250">
        <v>2</v>
      </c>
      <c r="G18" s="250">
        <v>2</v>
      </c>
      <c r="H18" s="250">
        <v>2</v>
      </c>
      <c r="I18" s="250">
        <v>2</v>
      </c>
      <c r="J18" s="250">
        <v>2</v>
      </c>
      <c r="K18" s="250">
        <v>2</v>
      </c>
      <c r="L18" s="252">
        <f>'DANH MUC NPL'!F41</f>
        <v>2</v>
      </c>
      <c r="M18" s="199">
        <v>0.03</v>
      </c>
      <c r="N18" s="195">
        <f t="shared" si="0"/>
        <v>1236</v>
      </c>
      <c r="O18" s="197" t="s">
        <v>19</v>
      </c>
      <c r="P18" s="200"/>
      <c r="Q18" s="4"/>
      <c r="R18" s="4"/>
      <c r="S18" s="4"/>
    </row>
    <row r="19" spans="1:19" s="5" customFormat="1" ht="15" customHeight="1">
      <c r="A19" s="163">
        <v>7</v>
      </c>
      <c r="B19" s="32" t="s">
        <v>87</v>
      </c>
      <c r="C19" s="188"/>
      <c r="D19" s="164" t="s">
        <v>88</v>
      </c>
      <c r="E19" s="114" t="s">
        <v>167</v>
      </c>
      <c r="F19" s="250">
        <v>1</v>
      </c>
      <c r="G19" s="250">
        <v>1</v>
      </c>
      <c r="H19" s="250">
        <v>1</v>
      </c>
      <c r="I19" s="250">
        <v>1</v>
      </c>
      <c r="J19" s="250">
        <v>1</v>
      </c>
      <c r="K19" s="250">
        <v>1</v>
      </c>
      <c r="L19" s="252">
        <f>'DANH MUC NPL'!F46</f>
        <v>1</v>
      </c>
      <c r="M19" s="199">
        <v>0.03</v>
      </c>
      <c r="N19" s="195">
        <f t="shared" si="0"/>
        <v>618</v>
      </c>
      <c r="O19" s="163" t="s">
        <v>172</v>
      </c>
      <c r="P19" s="200"/>
      <c r="Q19" s="4"/>
      <c r="R19" s="4"/>
      <c r="S19" s="4"/>
    </row>
    <row r="20" spans="1:19" s="5" customFormat="1" ht="15" customHeight="1">
      <c r="A20" s="163">
        <v>8</v>
      </c>
      <c r="B20" s="32" t="s">
        <v>89</v>
      </c>
      <c r="C20" s="188"/>
      <c r="D20" s="164" t="s">
        <v>90</v>
      </c>
      <c r="E20" s="114" t="s">
        <v>167</v>
      </c>
      <c r="F20" s="250">
        <v>1</v>
      </c>
      <c r="G20" s="250">
        <v>1</v>
      </c>
      <c r="H20" s="250">
        <v>1</v>
      </c>
      <c r="I20" s="250">
        <v>1</v>
      </c>
      <c r="J20" s="250">
        <v>1</v>
      </c>
      <c r="K20" s="250">
        <v>1</v>
      </c>
      <c r="L20" s="252">
        <f>'DANH MUC NPL'!F47</f>
        <v>1</v>
      </c>
      <c r="M20" s="199">
        <v>0.03</v>
      </c>
      <c r="N20" s="195">
        <f t="shared" si="0"/>
        <v>618</v>
      </c>
      <c r="O20" s="163" t="s">
        <v>172</v>
      </c>
      <c r="P20" s="200"/>
      <c r="Q20" s="4"/>
      <c r="R20" s="4"/>
      <c r="S20" s="4"/>
    </row>
    <row r="21" spans="1:19" s="5" customFormat="1" ht="15" customHeight="1">
      <c r="A21" s="163">
        <v>9</v>
      </c>
      <c r="B21" s="32" t="s">
        <v>95</v>
      </c>
      <c r="C21" s="188"/>
      <c r="D21" s="164" t="s">
        <v>96</v>
      </c>
      <c r="E21" s="114" t="s">
        <v>167</v>
      </c>
      <c r="F21" s="250">
        <v>1</v>
      </c>
      <c r="G21" s="250">
        <v>1</v>
      </c>
      <c r="H21" s="250">
        <v>1</v>
      </c>
      <c r="I21" s="250">
        <v>1</v>
      </c>
      <c r="J21" s="250">
        <v>1</v>
      </c>
      <c r="K21" s="250">
        <v>1</v>
      </c>
      <c r="L21" s="252">
        <f>'DANH MUC NPL'!F50</f>
        <v>1</v>
      </c>
      <c r="M21" s="199">
        <v>0.03</v>
      </c>
      <c r="N21" s="195">
        <f t="shared" si="0"/>
        <v>618</v>
      </c>
      <c r="O21" s="197" t="s">
        <v>19</v>
      </c>
      <c r="P21" s="200"/>
      <c r="Q21" s="4"/>
      <c r="R21" s="4"/>
      <c r="S21" s="4"/>
    </row>
    <row r="22" spans="1:19" s="5" customFormat="1" ht="15" customHeight="1">
      <c r="A22" s="163">
        <v>10</v>
      </c>
      <c r="B22" s="32" t="s">
        <v>99</v>
      </c>
      <c r="C22" s="188"/>
      <c r="D22" s="164" t="s">
        <v>100</v>
      </c>
      <c r="E22" s="114" t="s">
        <v>167</v>
      </c>
      <c r="F22" s="250">
        <v>0.125</v>
      </c>
      <c r="G22" s="250">
        <v>0.125</v>
      </c>
      <c r="H22" s="250">
        <v>0.125</v>
      </c>
      <c r="I22" s="250">
        <v>0.125</v>
      </c>
      <c r="J22" s="250">
        <v>0.125</v>
      </c>
      <c r="K22" s="250">
        <v>0.125</v>
      </c>
      <c r="L22" s="251">
        <f>'DANH MUC NPL'!F52</f>
        <v>0.125</v>
      </c>
      <c r="M22" s="199">
        <v>0.03</v>
      </c>
      <c r="N22" s="195">
        <f t="shared" si="0"/>
        <v>77.25</v>
      </c>
      <c r="O22" s="163" t="s">
        <v>172</v>
      </c>
      <c r="P22" s="200"/>
      <c r="Q22" s="4"/>
      <c r="R22" s="4"/>
      <c r="S22" s="4"/>
    </row>
    <row r="23" spans="1:19" s="5" customFormat="1" ht="15" customHeight="1">
      <c r="A23" s="163">
        <v>11</v>
      </c>
      <c r="B23" s="189" t="s">
        <v>109</v>
      </c>
      <c r="C23" s="190"/>
      <c r="D23" s="165" t="s">
        <v>110</v>
      </c>
      <c r="E23" s="163" t="s">
        <v>167</v>
      </c>
      <c r="F23" s="201">
        <v>1</v>
      </c>
      <c r="G23" s="201">
        <v>1</v>
      </c>
      <c r="H23" s="201">
        <v>1</v>
      </c>
      <c r="I23" s="201">
        <v>1</v>
      </c>
      <c r="J23" s="201">
        <v>1</v>
      </c>
      <c r="K23" s="201">
        <v>1</v>
      </c>
      <c r="L23" s="252">
        <f>'DANH MUC NPL'!F57</f>
        <v>1</v>
      </c>
      <c r="M23" s="202">
        <v>0.03</v>
      </c>
      <c r="N23" s="195">
        <f t="shared" si="0"/>
        <v>618</v>
      </c>
      <c r="O23" s="197" t="s">
        <v>19</v>
      </c>
      <c r="P23" s="200"/>
      <c r="Q23" s="4"/>
      <c r="R23" s="4"/>
      <c r="S23" s="4"/>
    </row>
    <row r="24" spans="1:16" ht="8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2:3" ht="13.5" customHeight="1">
      <c r="B25" s="194" t="s">
        <v>206</v>
      </c>
      <c r="C25" s="142" t="s">
        <v>213</v>
      </c>
    </row>
    <row r="26" spans="2:3" ht="12" customHeight="1">
      <c r="B26" s="191" t="s">
        <v>203</v>
      </c>
      <c r="C26" s="143" t="s">
        <v>212</v>
      </c>
    </row>
    <row r="27" spans="2:3" ht="12.75" customHeight="1">
      <c r="B27" s="191" t="s">
        <v>204</v>
      </c>
      <c r="C27" s="171" t="s">
        <v>210</v>
      </c>
    </row>
    <row r="28" spans="2:3" ht="12" customHeight="1">
      <c r="B28" s="191" t="s">
        <v>205</v>
      </c>
      <c r="C28" s="171" t="s">
        <v>211</v>
      </c>
    </row>
    <row r="29" spans="1:19" ht="20.25" customHeight="1">
      <c r="A29" s="149" t="s">
        <v>112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66"/>
      <c r="M29" s="167"/>
      <c r="N29" s="149"/>
      <c r="O29" s="149"/>
      <c r="P29" s="149"/>
      <c r="Q29" s="149"/>
      <c r="R29" s="149"/>
      <c r="S29" s="149"/>
    </row>
    <row r="30" spans="1:16" ht="27.75" customHeight="1">
      <c r="A30" s="149"/>
      <c r="B30" s="168" t="s">
        <v>113</v>
      </c>
      <c r="C30" s="169"/>
      <c r="D30" s="149"/>
      <c r="E30" s="149"/>
      <c r="F30" s="149"/>
      <c r="G30" s="149"/>
      <c r="H30" s="149"/>
      <c r="I30" s="149"/>
      <c r="J30" s="149"/>
      <c r="K30" s="149"/>
      <c r="L30" s="170"/>
      <c r="M30" s="167"/>
      <c r="N30" s="169" t="s">
        <v>113</v>
      </c>
      <c r="O30" s="169"/>
      <c r="P30" s="169"/>
    </row>
    <row r="31" spans="1:16" ht="14.25">
      <c r="A31" s="149"/>
      <c r="B31" s="168" t="s">
        <v>114</v>
      </c>
      <c r="C31" s="169"/>
      <c r="D31" s="149"/>
      <c r="E31" s="149"/>
      <c r="F31" s="149"/>
      <c r="G31" s="149"/>
      <c r="H31" s="149"/>
      <c r="I31" s="149"/>
      <c r="J31" s="149"/>
      <c r="K31" s="149"/>
      <c r="L31" s="166"/>
      <c r="M31" s="167"/>
      <c r="N31" s="169" t="s">
        <v>115</v>
      </c>
      <c r="O31" s="169"/>
      <c r="P31" s="169"/>
    </row>
    <row r="32" spans="1:16" ht="14.25">
      <c r="A32" s="149"/>
      <c r="B32" s="149" t="s">
        <v>116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66"/>
      <c r="M32" s="167"/>
      <c r="N32" s="169" t="s">
        <v>117</v>
      </c>
      <c r="O32" s="169"/>
      <c r="P32" s="169"/>
    </row>
    <row r="33" spans="1:19" ht="14.25">
      <c r="A33" s="149"/>
      <c r="B33" s="169"/>
      <c r="C33" s="169"/>
      <c r="D33" s="149"/>
      <c r="E33" s="149"/>
      <c r="F33" s="149"/>
      <c r="G33" s="149"/>
      <c r="H33" s="149"/>
      <c r="I33" s="149"/>
      <c r="J33" s="149"/>
      <c r="K33" s="149"/>
      <c r="L33" s="166"/>
      <c r="M33" s="167"/>
      <c r="N33" s="149"/>
      <c r="O33" s="149"/>
      <c r="P33" s="149"/>
      <c r="Q33" s="149"/>
      <c r="R33" s="149"/>
      <c r="S33" s="169"/>
    </row>
    <row r="34" spans="1:19" ht="14.2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66"/>
      <c r="M34" s="167"/>
      <c r="N34" s="149"/>
      <c r="O34" s="149"/>
      <c r="P34" s="169"/>
      <c r="Q34" s="169"/>
      <c r="R34" s="169"/>
      <c r="S34" s="169"/>
    </row>
    <row r="35" spans="1:19" ht="14.2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66"/>
      <c r="M35" s="169"/>
      <c r="N35" s="167"/>
      <c r="O35" s="149"/>
      <c r="P35" s="149"/>
      <c r="Q35" s="149"/>
      <c r="R35" s="149"/>
      <c r="S35" s="149"/>
    </row>
    <row r="36" spans="1:19" ht="12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66"/>
      <c r="M36" s="167"/>
      <c r="N36" s="149"/>
      <c r="O36" s="149"/>
      <c r="P36" s="149"/>
      <c r="Q36" s="149"/>
      <c r="R36" s="149"/>
      <c r="S36" s="149"/>
    </row>
    <row r="37" spans="1:19" ht="14.2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66"/>
      <c r="M37" s="167"/>
      <c r="N37" s="149"/>
      <c r="O37" s="149"/>
      <c r="P37" s="342"/>
      <c r="Q37" s="342"/>
      <c r="R37" s="342"/>
      <c r="S37" s="342"/>
    </row>
  </sheetData>
  <mergeCells count="12">
    <mergeCell ref="A10:A12"/>
    <mergeCell ref="D10:D12"/>
    <mergeCell ref="B10:C12"/>
    <mergeCell ref="P37:S37"/>
    <mergeCell ref="E10:E12"/>
    <mergeCell ref="N11:N12"/>
    <mergeCell ref="O10:O12"/>
    <mergeCell ref="P10:P12"/>
    <mergeCell ref="L11:L12"/>
    <mergeCell ref="M11:M12"/>
    <mergeCell ref="F10:K10"/>
    <mergeCell ref="L10:N10"/>
  </mergeCells>
  <printOptions horizontalCentered="1"/>
  <pageMargins left="0.23" right="0" top="0.19" bottom="0.35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workbookViewId="0" topLeftCell="A4">
      <selection activeCell="C26" sqref="C26"/>
    </sheetView>
  </sheetViews>
  <sheetFormatPr defaultColWidth="8.796875" defaultRowHeight="15"/>
  <cols>
    <col min="1" max="1" width="3.69921875" style="4" customWidth="1"/>
    <col min="2" max="2" width="20.5" style="4" customWidth="1"/>
    <col min="3" max="3" width="14.5" style="4" customWidth="1"/>
    <col min="4" max="4" width="5" style="4" customWidth="1"/>
    <col min="5" max="5" width="6.19921875" style="4" customWidth="1"/>
    <col min="6" max="11" width="6.59765625" style="4" customWidth="1"/>
    <col min="12" max="12" width="9.5" style="4" customWidth="1"/>
    <col min="13" max="13" width="6.59765625" style="4" customWidth="1"/>
    <col min="14" max="14" width="12.19921875" style="4" customWidth="1"/>
    <col min="15" max="15" width="8.3984375" style="4" customWidth="1"/>
    <col min="16" max="16" width="8.5" style="4" customWidth="1"/>
    <col min="17" max="16384" width="8" style="4" customWidth="1"/>
  </cols>
  <sheetData>
    <row r="1" spans="1:19" ht="24.75" customHeight="1">
      <c r="A1" s="1">
        <v>3</v>
      </c>
      <c r="B1" s="1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s="5" customFormat="1" ht="14.25" customHeight="1">
      <c r="A2" s="4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"/>
      <c r="P2" s="8" t="s">
        <v>0</v>
      </c>
      <c r="Q2" s="4"/>
      <c r="R2" s="4"/>
      <c r="S2" s="4"/>
    </row>
    <row r="3" spans="1:16" s="5" customFormat="1" ht="24.75" customHeight="1">
      <c r="A3" s="17" t="s">
        <v>225</v>
      </c>
      <c r="B3" s="230"/>
      <c r="C3" s="230"/>
      <c r="D3" s="17" t="s">
        <v>1</v>
      </c>
      <c r="E3" s="231"/>
      <c r="F3" s="231"/>
      <c r="G3" s="231"/>
      <c r="H3" s="231"/>
      <c r="I3" s="231"/>
      <c r="J3" s="231"/>
      <c r="K3" s="231"/>
      <c r="L3" s="231"/>
      <c r="M3" s="17" t="s">
        <v>2</v>
      </c>
      <c r="P3" s="232"/>
    </row>
    <row r="4" spans="1:16" s="5" customFormat="1" ht="15" customHeight="1">
      <c r="A4" s="17" t="s">
        <v>3</v>
      </c>
      <c r="B4" s="230"/>
      <c r="C4" s="230"/>
      <c r="P4" s="232"/>
    </row>
    <row r="5" spans="1:13" s="5" customFormat="1" ht="15" customHeight="1">
      <c r="A5" s="17" t="s">
        <v>223</v>
      </c>
      <c r="B5" s="230"/>
      <c r="C5" s="230"/>
      <c r="D5" s="233"/>
      <c r="E5" s="234" t="s">
        <v>4</v>
      </c>
      <c r="L5" s="231"/>
      <c r="M5" s="235"/>
    </row>
    <row r="6" spans="1:16" s="5" customFormat="1" ht="15" customHeight="1">
      <c r="A6" s="17" t="s">
        <v>224</v>
      </c>
      <c r="B6" s="230"/>
      <c r="C6" s="230"/>
      <c r="D6" s="233"/>
      <c r="L6" s="231"/>
      <c r="M6" s="235"/>
      <c r="P6" s="236"/>
    </row>
    <row r="7" spans="1:16" s="5" customFormat="1" ht="15" customHeight="1">
      <c r="A7" s="237" t="s">
        <v>5</v>
      </c>
      <c r="B7" s="230"/>
      <c r="C7" s="230"/>
      <c r="D7" s="233"/>
      <c r="M7" s="235"/>
      <c r="P7" s="232"/>
    </row>
    <row r="8" spans="1:16" s="5" customFormat="1" ht="15" customHeight="1">
      <c r="A8" s="17" t="s">
        <v>198</v>
      </c>
      <c r="B8" s="230"/>
      <c r="C8" s="230"/>
      <c r="D8" s="233"/>
      <c r="E8" s="231"/>
      <c r="F8" s="231"/>
      <c r="G8" s="231"/>
      <c r="H8" s="231"/>
      <c r="I8" s="231"/>
      <c r="J8" s="231"/>
      <c r="K8" s="231"/>
      <c r="L8" s="231"/>
      <c r="M8" s="235"/>
      <c r="P8" s="232"/>
    </row>
    <row r="9" spans="1:16" s="5" customFormat="1" ht="23.25" customHeight="1">
      <c r="A9" s="238" t="s">
        <v>178</v>
      </c>
      <c r="B9" s="239"/>
      <c r="C9" s="239" t="str">
        <f>'DANH MUC NPL'!E9</f>
        <v>IC7P-108T</v>
      </c>
      <c r="D9" s="240"/>
      <c r="E9" s="241"/>
      <c r="F9" s="241"/>
      <c r="G9" s="241"/>
      <c r="H9" s="241"/>
      <c r="I9" s="241"/>
      <c r="J9" s="241"/>
      <c r="K9" s="241"/>
      <c r="L9" s="241"/>
      <c r="M9" s="242" t="s">
        <v>6</v>
      </c>
      <c r="N9" s="243">
        <v>600</v>
      </c>
      <c r="O9" s="244" t="s">
        <v>7</v>
      </c>
      <c r="P9" s="238"/>
    </row>
    <row r="10" spans="1:16" s="5" customFormat="1" ht="14.25" customHeight="1">
      <c r="A10" s="369" t="s">
        <v>8</v>
      </c>
      <c r="B10" s="373" t="s">
        <v>9</v>
      </c>
      <c r="C10" s="374"/>
      <c r="D10" s="372" t="s">
        <v>10</v>
      </c>
      <c r="E10" s="366" t="s">
        <v>11</v>
      </c>
      <c r="F10" s="357" t="s">
        <v>194</v>
      </c>
      <c r="G10" s="362"/>
      <c r="H10" s="362"/>
      <c r="I10" s="362"/>
      <c r="J10" s="362"/>
      <c r="K10" s="358"/>
      <c r="L10" s="363" t="s">
        <v>12</v>
      </c>
      <c r="M10" s="364"/>
      <c r="N10" s="364"/>
      <c r="O10" s="359" t="s">
        <v>13</v>
      </c>
      <c r="P10" s="359" t="s">
        <v>14</v>
      </c>
    </row>
    <row r="11" spans="1:16" s="5" customFormat="1" ht="14.25" customHeight="1">
      <c r="A11" s="370"/>
      <c r="B11" s="373"/>
      <c r="C11" s="374"/>
      <c r="D11" s="367"/>
      <c r="E11" s="367"/>
      <c r="F11" s="138">
        <v>14</v>
      </c>
      <c r="G11" s="138">
        <v>16</v>
      </c>
      <c r="H11" s="138">
        <v>18</v>
      </c>
      <c r="I11" s="138">
        <v>20</v>
      </c>
      <c r="J11" s="138">
        <v>22</v>
      </c>
      <c r="K11" s="139">
        <v>24</v>
      </c>
      <c r="L11" s="348" t="s">
        <v>214</v>
      </c>
      <c r="M11" s="360" t="s">
        <v>200</v>
      </c>
      <c r="N11" s="345" t="s">
        <v>195</v>
      </c>
      <c r="O11" s="359"/>
      <c r="P11" s="359"/>
    </row>
    <row r="12" spans="1:16" s="5" customFormat="1" ht="14.25" customHeight="1">
      <c r="A12" s="371"/>
      <c r="B12" s="373"/>
      <c r="C12" s="374"/>
      <c r="D12" s="368"/>
      <c r="E12" s="368"/>
      <c r="F12" s="140">
        <v>75</v>
      </c>
      <c r="G12" s="140">
        <v>75</v>
      </c>
      <c r="H12" s="140">
        <v>150</v>
      </c>
      <c r="I12" s="140">
        <v>150</v>
      </c>
      <c r="J12" s="140">
        <v>75</v>
      </c>
      <c r="K12" s="140">
        <v>75</v>
      </c>
      <c r="L12" s="349"/>
      <c r="M12" s="361"/>
      <c r="N12" s="346"/>
      <c r="O12" s="359"/>
      <c r="P12" s="359"/>
    </row>
    <row r="13" spans="1:19" s="5" customFormat="1" ht="15" customHeight="1">
      <c r="A13" s="27">
        <v>1</v>
      </c>
      <c r="B13" s="110" t="s">
        <v>22</v>
      </c>
      <c r="C13" s="187"/>
      <c r="D13" s="118" t="s">
        <v>23</v>
      </c>
      <c r="E13" s="114" t="s">
        <v>164</v>
      </c>
      <c r="F13" s="211">
        <f>I13*0.97</f>
        <v>1.3890399999999998</v>
      </c>
      <c r="G13" s="211">
        <f>I13*0.98</f>
        <v>1.40336</v>
      </c>
      <c r="H13" s="211">
        <f>I13*0.99</f>
        <v>1.4176799999999998</v>
      </c>
      <c r="I13" s="211">
        <v>1.432</v>
      </c>
      <c r="J13" s="211">
        <f>I13*1.01</f>
        <v>1.44632</v>
      </c>
      <c r="K13" s="211">
        <f>I13*1.02</f>
        <v>1.46064</v>
      </c>
      <c r="L13" s="251">
        <v>1.432</v>
      </c>
      <c r="M13" s="29">
        <v>0.03</v>
      </c>
      <c r="N13" s="212">
        <f>L13*1.03*$N$9</f>
        <v>884.976</v>
      </c>
      <c r="O13" s="30" t="s">
        <v>19</v>
      </c>
      <c r="P13" s="31"/>
      <c r="R13" s="215">
        <f>(F13*$F$12+G13*$G$12+H13*$H$12+I13*$I$12+J13*$J$12+K13*$K$12)/$N$9</f>
        <v>1.4248399999999999</v>
      </c>
      <c r="S13" s="144"/>
    </row>
    <row r="14" spans="1:19" s="5" customFormat="1" ht="15" customHeight="1">
      <c r="A14" s="27">
        <v>2</v>
      </c>
      <c r="B14" s="32" t="s">
        <v>48</v>
      </c>
      <c r="C14" s="188"/>
      <c r="D14" s="118" t="s">
        <v>49</v>
      </c>
      <c r="E14" s="27" t="s">
        <v>165</v>
      </c>
      <c r="F14" s="211">
        <f>I14*0.97</f>
        <v>336.30773</v>
      </c>
      <c r="G14" s="211">
        <f>I14*0.98</f>
        <v>339.77482</v>
      </c>
      <c r="H14" s="211">
        <f>I14*0.99</f>
        <v>343.24191</v>
      </c>
      <c r="I14" s="211">
        <v>346.709</v>
      </c>
      <c r="J14" s="211">
        <f>I14*1.01</f>
        <v>350.17609</v>
      </c>
      <c r="K14" s="211">
        <f>I14*1.02</f>
        <v>353.64318000000003</v>
      </c>
      <c r="L14" s="263">
        <v>344.975006</v>
      </c>
      <c r="M14" s="29">
        <v>0.03</v>
      </c>
      <c r="N14" s="212">
        <f aca="true" t="shared" si="0" ref="N14:N21">L14*1.03*$N$9</f>
        <v>213194.55370800002</v>
      </c>
      <c r="O14" s="27" t="s">
        <v>172</v>
      </c>
      <c r="P14" s="31"/>
      <c r="R14" s="216">
        <f>(F14*$F$12+G14*$G$12+H14*$H$12+I14*$I$12+J14*$J$12+K14*$K$12)/$N$9</f>
        <v>344.975455</v>
      </c>
      <c r="S14" s="145"/>
    </row>
    <row r="15" spans="1:16" s="5" customFormat="1" ht="15" customHeight="1">
      <c r="A15" s="27">
        <v>3</v>
      </c>
      <c r="B15" s="32" t="s">
        <v>50</v>
      </c>
      <c r="C15" s="188"/>
      <c r="D15" s="118" t="s">
        <v>51</v>
      </c>
      <c r="E15" s="27" t="s">
        <v>54</v>
      </c>
      <c r="F15" s="250">
        <v>1</v>
      </c>
      <c r="G15" s="250">
        <v>1</v>
      </c>
      <c r="H15" s="250">
        <v>1</v>
      </c>
      <c r="I15" s="250">
        <v>1</v>
      </c>
      <c r="J15" s="250">
        <v>1</v>
      </c>
      <c r="K15" s="250">
        <v>1</v>
      </c>
      <c r="L15" s="255">
        <f>'DANH MUC NPL'!E28</f>
        <v>1</v>
      </c>
      <c r="M15" s="29">
        <v>0.03</v>
      </c>
      <c r="N15" s="28">
        <f t="shared" si="0"/>
        <v>618</v>
      </c>
      <c r="O15" s="30" t="s">
        <v>19</v>
      </c>
      <c r="P15" s="31"/>
    </row>
    <row r="16" spans="1:16" s="5" customFormat="1" ht="15" customHeight="1">
      <c r="A16" s="27">
        <v>4</v>
      </c>
      <c r="B16" s="32" t="s">
        <v>65</v>
      </c>
      <c r="C16" s="188"/>
      <c r="D16" s="118" t="s">
        <v>66</v>
      </c>
      <c r="E16" s="27" t="s">
        <v>54</v>
      </c>
      <c r="F16" s="250">
        <v>2</v>
      </c>
      <c r="G16" s="250">
        <v>2</v>
      </c>
      <c r="H16" s="250">
        <v>2</v>
      </c>
      <c r="I16" s="250">
        <v>2</v>
      </c>
      <c r="J16" s="250">
        <v>2</v>
      </c>
      <c r="K16" s="250">
        <v>2</v>
      </c>
      <c r="L16" s="255">
        <f>'DANH MUC NPL'!E35</f>
        <v>2</v>
      </c>
      <c r="M16" s="29">
        <v>0.03</v>
      </c>
      <c r="N16" s="28">
        <f t="shared" si="0"/>
        <v>1236</v>
      </c>
      <c r="O16" s="30" t="s">
        <v>19</v>
      </c>
      <c r="P16" s="34"/>
    </row>
    <row r="17" spans="1:16" s="5" customFormat="1" ht="15" customHeight="1">
      <c r="A17" s="27">
        <v>5</v>
      </c>
      <c r="B17" s="32" t="s">
        <v>75</v>
      </c>
      <c r="C17" s="188"/>
      <c r="D17" s="118" t="s">
        <v>76</v>
      </c>
      <c r="E17" s="27" t="s">
        <v>54</v>
      </c>
      <c r="F17" s="250">
        <v>1</v>
      </c>
      <c r="G17" s="250">
        <v>1</v>
      </c>
      <c r="H17" s="250">
        <v>1</v>
      </c>
      <c r="I17" s="250">
        <v>1</v>
      </c>
      <c r="J17" s="250">
        <v>1</v>
      </c>
      <c r="K17" s="250">
        <v>1</v>
      </c>
      <c r="L17" s="255">
        <f>'DANH MUC NPL'!E40</f>
        <v>1</v>
      </c>
      <c r="M17" s="29">
        <v>0.03</v>
      </c>
      <c r="N17" s="28">
        <f t="shared" si="0"/>
        <v>618</v>
      </c>
      <c r="O17" s="30" t="s">
        <v>19</v>
      </c>
      <c r="P17" s="34"/>
    </row>
    <row r="18" spans="1:16" s="5" customFormat="1" ht="15" customHeight="1">
      <c r="A18" s="27">
        <v>6</v>
      </c>
      <c r="B18" s="32" t="s">
        <v>77</v>
      </c>
      <c r="C18" s="188"/>
      <c r="D18" s="118" t="s">
        <v>78</v>
      </c>
      <c r="E18" s="27" t="s">
        <v>54</v>
      </c>
      <c r="F18" s="250">
        <v>2</v>
      </c>
      <c r="G18" s="250">
        <v>2</v>
      </c>
      <c r="H18" s="250">
        <v>2</v>
      </c>
      <c r="I18" s="250">
        <v>2</v>
      </c>
      <c r="J18" s="250">
        <v>2</v>
      </c>
      <c r="K18" s="250">
        <v>2</v>
      </c>
      <c r="L18" s="255">
        <f>'DANH MUC NPL'!E41</f>
        <v>2</v>
      </c>
      <c r="M18" s="29">
        <v>0.03</v>
      </c>
      <c r="N18" s="28">
        <f t="shared" si="0"/>
        <v>1236</v>
      </c>
      <c r="O18" s="30" t="s">
        <v>19</v>
      </c>
      <c r="P18" s="34"/>
    </row>
    <row r="19" spans="1:16" s="5" customFormat="1" ht="15" customHeight="1">
      <c r="A19" s="27">
        <v>7</v>
      </c>
      <c r="B19" s="32" t="s">
        <v>87</v>
      </c>
      <c r="C19" s="188"/>
      <c r="D19" s="118" t="s">
        <v>88</v>
      </c>
      <c r="E19" s="33" t="s">
        <v>54</v>
      </c>
      <c r="F19" s="250">
        <v>1</v>
      </c>
      <c r="G19" s="250">
        <v>1</v>
      </c>
      <c r="H19" s="250">
        <v>1</v>
      </c>
      <c r="I19" s="250">
        <v>1</v>
      </c>
      <c r="J19" s="250">
        <v>1</v>
      </c>
      <c r="K19" s="250">
        <v>1</v>
      </c>
      <c r="L19" s="255">
        <f>'DANH MUC NPL'!E46</f>
        <v>1</v>
      </c>
      <c r="M19" s="29">
        <v>0.03</v>
      </c>
      <c r="N19" s="28">
        <f t="shared" si="0"/>
        <v>618</v>
      </c>
      <c r="O19" s="27" t="s">
        <v>172</v>
      </c>
      <c r="P19" s="34"/>
    </row>
    <row r="20" spans="1:16" s="5" customFormat="1" ht="15" customHeight="1">
      <c r="A20" s="27">
        <v>8</v>
      </c>
      <c r="B20" s="32" t="s">
        <v>89</v>
      </c>
      <c r="C20" s="188"/>
      <c r="D20" s="118" t="s">
        <v>90</v>
      </c>
      <c r="E20" s="27" t="s">
        <v>54</v>
      </c>
      <c r="F20" s="256">
        <v>1</v>
      </c>
      <c r="G20" s="256">
        <v>1</v>
      </c>
      <c r="H20" s="256">
        <v>1</v>
      </c>
      <c r="I20" s="256">
        <v>1</v>
      </c>
      <c r="J20" s="256">
        <v>1</v>
      </c>
      <c r="K20" s="256">
        <v>1</v>
      </c>
      <c r="L20" s="257">
        <f>'DANH MUC NPL'!E47</f>
        <v>1</v>
      </c>
      <c r="M20" s="29">
        <v>0.03</v>
      </c>
      <c r="N20" s="28">
        <f t="shared" si="0"/>
        <v>618</v>
      </c>
      <c r="O20" s="27" t="s">
        <v>172</v>
      </c>
      <c r="P20" s="34"/>
    </row>
    <row r="21" spans="1:16" s="5" customFormat="1" ht="15" customHeight="1">
      <c r="A21" s="27">
        <v>9</v>
      </c>
      <c r="B21" s="32" t="s">
        <v>99</v>
      </c>
      <c r="C21" s="188"/>
      <c r="D21" s="118" t="s">
        <v>100</v>
      </c>
      <c r="E21" s="27" t="s">
        <v>54</v>
      </c>
      <c r="F21" s="114" t="s">
        <v>167</v>
      </c>
      <c r="G21" s="141">
        <v>0.125</v>
      </c>
      <c r="H21" s="141">
        <v>0.125</v>
      </c>
      <c r="I21" s="141">
        <v>0.125</v>
      </c>
      <c r="J21" s="141">
        <v>0.125</v>
      </c>
      <c r="K21" s="141">
        <v>0.125</v>
      </c>
      <c r="L21" s="141">
        <v>0.125</v>
      </c>
      <c r="M21" s="29">
        <v>0.03</v>
      </c>
      <c r="N21" s="28">
        <f t="shared" si="0"/>
        <v>77.25</v>
      </c>
      <c r="O21" s="27" t="s">
        <v>172</v>
      </c>
      <c r="P21" s="34"/>
    </row>
    <row r="22" spans="1:16" s="5" customFormat="1" ht="15" customHeight="1">
      <c r="A22" s="181">
        <v>10</v>
      </c>
      <c r="B22" s="228" t="s">
        <v>109</v>
      </c>
      <c r="C22" s="229"/>
      <c r="D22" s="182" t="s">
        <v>110</v>
      </c>
      <c r="E22" s="181" t="s">
        <v>54</v>
      </c>
      <c r="F22" s="258">
        <v>1</v>
      </c>
      <c r="G22" s="259">
        <v>1</v>
      </c>
      <c r="H22" s="259">
        <v>1</v>
      </c>
      <c r="I22" s="259">
        <v>1</v>
      </c>
      <c r="J22" s="259">
        <v>1</v>
      </c>
      <c r="K22" s="259">
        <v>1</v>
      </c>
      <c r="L22" s="259">
        <v>1</v>
      </c>
      <c r="M22" s="183">
        <v>0.03</v>
      </c>
      <c r="N22" s="184">
        <f>L22*1.03*$N$9</f>
        <v>618</v>
      </c>
      <c r="O22" s="185" t="s">
        <v>19</v>
      </c>
      <c r="P22" s="186"/>
    </row>
    <row r="23" spans="1:16" s="5" customFormat="1" ht="9" customHeight="1">
      <c r="A23" s="205"/>
      <c r="B23" s="206"/>
      <c r="C23" s="206"/>
      <c r="D23" s="207"/>
      <c r="E23" s="205"/>
      <c r="F23" s="205"/>
      <c r="G23" s="205"/>
      <c r="H23" s="205"/>
      <c r="I23" s="205"/>
      <c r="J23" s="205"/>
      <c r="K23" s="205"/>
      <c r="L23" s="205"/>
      <c r="M23" s="208"/>
      <c r="N23" s="209"/>
      <c r="O23" s="205"/>
      <c r="P23" s="210"/>
    </row>
    <row r="24" spans="2:3" ht="18" customHeight="1">
      <c r="B24" s="203" t="s">
        <v>206</v>
      </c>
      <c r="C24" s="204" t="s">
        <v>213</v>
      </c>
    </row>
    <row r="25" spans="1:19" ht="15" customHeight="1">
      <c r="A25" s="9"/>
      <c r="B25" s="191" t="s">
        <v>203</v>
      </c>
      <c r="C25" s="143" t="s">
        <v>212</v>
      </c>
      <c r="D25" s="9"/>
      <c r="E25" s="9"/>
      <c r="F25" s="9"/>
      <c r="G25" s="9"/>
      <c r="H25" s="9"/>
      <c r="I25" s="9"/>
      <c r="J25" s="9"/>
      <c r="K25" s="9"/>
      <c r="L25" s="38"/>
      <c r="M25" s="39"/>
      <c r="N25" s="9"/>
      <c r="O25" s="9"/>
      <c r="P25" s="9"/>
      <c r="Q25" s="9"/>
      <c r="R25" s="9"/>
      <c r="S25" s="9"/>
    </row>
    <row r="26" spans="1:19" ht="15" customHeight="1">
      <c r="A26" s="9"/>
      <c r="B26" s="191" t="s">
        <v>204</v>
      </c>
      <c r="C26" s="171" t="s">
        <v>210</v>
      </c>
      <c r="D26" s="9"/>
      <c r="E26" s="9"/>
      <c r="F26" s="9"/>
      <c r="G26" s="9"/>
      <c r="H26" s="9"/>
      <c r="I26" s="9"/>
      <c r="J26" s="9"/>
      <c r="K26" s="9"/>
      <c r="L26" s="38"/>
      <c r="M26" s="39"/>
      <c r="N26" s="9"/>
      <c r="O26" s="9"/>
      <c r="P26" s="9"/>
      <c r="Q26" s="9"/>
      <c r="R26" s="9"/>
      <c r="S26" s="9"/>
    </row>
    <row r="27" spans="1:19" ht="15" customHeight="1">
      <c r="A27" s="9"/>
      <c r="B27" s="191" t="s">
        <v>205</v>
      </c>
      <c r="C27" s="171" t="s">
        <v>211</v>
      </c>
      <c r="D27" s="9"/>
      <c r="E27" s="9"/>
      <c r="F27" s="9"/>
      <c r="G27" s="9"/>
      <c r="H27" s="9"/>
      <c r="I27" s="9"/>
      <c r="J27" s="9"/>
      <c r="K27" s="9"/>
      <c r="L27" s="38"/>
      <c r="M27" s="39"/>
      <c r="N27" s="9"/>
      <c r="O27" s="9"/>
      <c r="P27" s="9"/>
      <c r="Q27" s="9"/>
      <c r="R27" s="9"/>
      <c r="S27" s="9"/>
    </row>
    <row r="28" spans="1:19" ht="20.25" customHeight="1">
      <c r="A28" s="9" t="s">
        <v>112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38"/>
      <c r="M28" s="39"/>
      <c r="N28" s="9"/>
      <c r="O28" s="9"/>
      <c r="P28" s="9"/>
      <c r="Q28" s="9"/>
      <c r="R28" s="9"/>
      <c r="S28" s="9"/>
    </row>
    <row r="29" spans="1:16" ht="21.75" customHeight="1">
      <c r="A29" s="9"/>
      <c r="B29" s="117" t="s">
        <v>113</v>
      </c>
      <c r="C29" s="40"/>
      <c r="D29" s="9"/>
      <c r="E29" s="9"/>
      <c r="F29" s="9"/>
      <c r="G29" s="9"/>
      <c r="H29" s="9"/>
      <c r="I29" s="9"/>
      <c r="J29" s="9"/>
      <c r="K29" s="9"/>
      <c r="L29" s="41"/>
      <c r="M29" s="39"/>
      <c r="N29" s="40" t="s">
        <v>113</v>
      </c>
      <c r="O29" s="40"/>
      <c r="P29" s="40"/>
    </row>
    <row r="30" spans="1:16" ht="16.5">
      <c r="A30" s="117" t="s">
        <v>114</v>
      </c>
      <c r="C30" s="40"/>
      <c r="D30" s="9"/>
      <c r="E30" s="9"/>
      <c r="F30" s="9"/>
      <c r="G30" s="9"/>
      <c r="H30" s="9"/>
      <c r="I30" s="9"/>
      <c r="J30" s="9"/>
      <c r="K30" s="9"/>
      <c r="L30" s="38"/>
      <c r="M30" s="39"/>
      <c r="N30" s="40" t="s">
        <v>115</v>
      </c>
      <c r="O30" s="40"/>
      <c r="P30" s="40"/>
    </row>
    <row r="31" spans="1:16" ht="16.5">
      <c r="A31" s="117" t="s">
        <v>171</v>
      </c>
      <c r="C31" s="9"/>
      <c r="D31" s="9"/>
      <c r="E31" s="9"/>
      <c r="F31" s="9"/>
      <c r="G31" s="9"/>
      <c r="H31" s="9"/>
      <c r="I31" s="9"/>
      <c r="J31" s="9"/>
      <c r="K31" s="9"/>
      <c r="L31" s="38"/>
      <c r="M31" s="39"/>
      <c r="N31" s="40" t="s">
        <v>117</v>
      </c>
      <c r="O31" s="40"/>
      <c r="P31" s="40"/>
    </row>
    <row r="32" spans="1:19" ht="16.5">
      <c r="A32" s="9"/>
      <c r="B32" s="117"/>
      <c r="C32" s="40"/>
      <c r="D32" s="9"/>
      <c r="E32" s="9"/>
      <c r="F32" s="9"/>
      <c r="G32" s="9"/>
      <c r="H32" s="9"/>
      <c r="I32" s="9"/>
      <c r="J32" s="9"/>
      <c r="K32" s="9"/>
      <c r="L32" s="38"/>
      <c r="M32" s="39"/>
      <c r="N32" s="9"/>
      <c r="O32" s="9"/>
      <c r="P32" s="9"/>
      <c r="Q32" s="9"/>
      <c r="R32" s="9"/>
      <c r="S32" s="40"/>
    </row>
    <row r="33" spans="1:19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38"/>
      <c r="M33" s="39"/>
      <c r="N33" s="9"/>
      <c r="O33" s="9"/>
      <c r="P33" s="40"/>
      <c r="Q33" s="40"/>
      <c r="R33" s="40"/>
      <c r="S33" s="40"/>
    </row>
    <row r="34" spans="1:19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38"/>
      <c r="M34" s="40"/>
      <c r="N34" s="39"/>
      <c r="O34" s="9"/>
      <c r="P34" s="9"/>
      <c r="Q34" s="9"/>
      <c r="R34" s="9"/>
      <c r="S34" s="9"/>
    </row>
    <row r="35" spans="1:19" ht="12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38"/>
      <c r="M35" s="39"/>
      <c r="N35" s="9"/>
      <c r="O35" s="9"/>
      <c r="P35" s="9"/>
      <c r="Q35" s="9"/>
      <c r="R35" s="9"/>
      <c r="S35" s="9"/>
    </row>
    <row r="36" spans="1:19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38"/>
      <c r="M36" s="39"/>
      <c r="N36" s="9"/>
      <c r="O36" s="9"/>
      <c r="P36" s="365"/>
      <c r="Q36" s="365"/>
      <c r="R36" s="365"/>
      <c r="S36" s="365"/>
    </row>
  </sheetData>
  <mergeCells count="12">
    <mergeCell ref="A10:A12"/>
    <mergeCell ref="D10:D12"/>
    <mergeCell ref="B10:C12"/>
    <mergeCell ref="P36:S36"/>
    <mergeCell ref="E10:E12"/>
    <mergeCell ref="N11:N12"/>
    <mergeCell ref="O10:O12"/>
    <mergeCell ref="P10:P12"/>
    <mergeCell ref="L11:L12"/>
    <mergeCell ref="M11:M12"/>
    <mergeCell ref="F10:K10"/>
    <mergeCell ref="L10:N10"/>
  </mergeCells>
  <printOptions horizontalCentered="1"/>
  <pageMargins left="0.23" right="0" top="0.19" bottom="0.35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116"/>
  <sheetViews>
    <sheetView tabSelected="1" zoomScale="90" zoomScaleNormal="90" workbookViewId="0" topLeftCell="B10">
      <selection activeCell="Q18" sqref="Q18"/>
    </sheetView>
  </sheetViews>
  <sheetFormatPr defaultColWidth="8.796875" defaultRowHeight="15"/>
  <cols>
    <col min="1" max="1" width="0.1015625" style="102" hidden="1" customWidth="1"/>
    <col min="2" max="2" width="4.5" style="101" customWidth="1"/>
    <col min="3" max="3" width="10.09765625" style="102" customWidth="1"/>
    <col min="4" max="4" width="9.3984375" style="102" customWidth="1"/>
    <col min="5" max="5" width="5.3984375" style="102" customWidth="1"/>
    <col min="6" max="6" width="8.5" style="102" customWidth="1"/>
    <col min="7" max="7" width="6.8984375" style="102" customWidth="1"/>
    <col min="8" max="8" width="11.09765625" style="102" customWidth="1"/>
    <col min="9" max="10" width="6.69921875" style="102" customWidth="1"/>
    <col min="11" max="11" width="6" style="102" customWidth="1"/>
    <col min="12" max="12" width="10.09765625" style="102" customWidth="1"/>
    <col min="13" max="13" width="7.19921875" style="102" customWidth="1"/>
    <col min="14" max="14" width="10.59765625" style="102" customWidth="1"/>
    <col min="15" max="15" width="8.59765625" style="102" customWidth="1"/>
    <col min="16" max="16" width="11.09765625" style="102" customWidth="1"/>
    <col min="17" max="17" width="5.8984375" style="102" customWidth="1"/>
    <col min="18" max="18" width="12.19921875" style="102" customWidth="1"/>
    <col min="19" max="19" width="10.59765625" style="102" customWidth="1"/>
    <col min="20" max="20" width="10.19921875" style="102" customWidth="1"/>
    <col min="21" max="22" width="10.5" style="102" customWidth="1"/>
    <col min="23" max="23" width="12.59765625" style="102" customWidth="1"/>
    <col min="24" max="24" width="13.09765625" style="102" customWidth="1"/>
    <col min="25" max="16384" width="8" style="102" customWidth="1"/>
  </cols>
  <sheetData>
    <row r="1" spans="2:20" s="59" customFormat="1" ht="21.75" customHeight="1">
      <c r="B1" s="57" t="s">
        <v>129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="61" customFormat="1" ht="8.25" customHeight="1">
      <c r="B2" s="60"/>
    </row>
    <row r="3" spans="2:13" s="61" customFormat="1" ht="15" customHeight="1">
      <c r="B3" s="62" t="s">
        <v>130</v>
      </c>
      <c r="E3" s="63"/>
      <c r="F3" s="63" t="s">
        <v>131</v>
      </c>
      <c r="G3" s="63"/>
      <c r="H3" s="63" t="s">
        <v>132</v>
      </c>
      <c r="I3" s="63"/>
      <c r="J3" s="64"/>
      <c r="K3" s="62"/>
      <c r="L3" s="62" t="s">
        <v>133</v>
      </c>
      <c r="M3" s="62"/>
    </row>
    <row r="4" spans="2:13" s="61" customFormat="1" ht="15" customHeight="1">
      <c r="B4" s="62" t="s">
        <v>134</v>
      </c>
      <c r="E4" s="62"/>
      <c r="F4" s="62"/>
      <c r="G4" s="62"/>
      <c r="H4" s="62"/>
      <c r="I4" s="62"/>
      <c r="J4" s="62"/>
      <c r="K4" s="62"/>
      <c r="L4" s="62"/>
      <c r="M4" s="62"/>
    </row>
    <row r="5" spans="2:13" s="61" customFormat="1" ht="15" customHeight="1">
      <c r="B5" s="62" t="s">
        <v>135</v>
      </c>
      <c r="E5" s="123" t="s">
        <v>136</v>
      </c>
      <c r="F5" s="62"/>
      <c r="G5" s="62"/>
      <c r="H5" s="62"/>
      <c r="I5" s="62"/>
      <c r="J5" s="62" t="s">
        <v>137</v>
      </c>
      <c r="K5" s="62"/>
      <c r="L5" s="62"/>
      <c r="M5" s="62"/>
    </row>
    <row r="6" spans="2:13" s="61" customFormat="1" ht="15" customHeight="1">
      <c r="B6" s="9" t="s">
        <v>174</v>
      </c>
      <c r="E6" s="62"/>
      <c r="F6" s="62"/>
      <c r="G6" s="62"/>
      <c r="H6" s="62"/>
      <c r="I6" s="62"/>
      <c r="J6" s="62"/>
      <c r="K6" s="62"/>
      <c r="L6" s="62"/>
      <c r="M6" s="62"/>
    </row>
    <row r="7" spans="2:5" s="61" customFormat="1" ht="15" customHeight="1">
      <c r="B7" s="62" t="s">
        <v>138</v>
      </c>
      <c r="E7" s="62" t="s">
        <v>197</v>
      </c>
    </row>
    <row r="8" spans="2:9" s="61" customFormat="1" ht="15" customHeight="1">
      <c r="B8" s="62" t="s">
        <v>139</v>
      </c>
      <c r="H8" s="62" t="s">
        <v>140</v>
      </c>
      <c r="I8" s="62"/>
    </row>
    <row r="9" spans="2:5" s="61" customFormat="1" ht="15" customHeight="1">
      <c r="B9" s="62" t="s">
        <v>141</v>
      </c>
      <c r="E9" s="62" t="s">
        <v>142</v>
      </c>
    </row>
    <row r="10" spans="2:20" s="61" customFormat="1" ht="9.75" customHeight="1">
      <c r="B10" s="65"/>
      <c r="C10" s="66"/>
      <c r="D10" s="66"/>
      <c r="E10" s="67"/>
      <c r="F10" s="68"/>
      <c r="G10" s="68"/>
      <c r="H10" s="69"/>
      <c r="I10" s="69"/>
      <c r="J10" s="68"/>
      <c r="K10" s="68"/>
      <c r="L10" s="69"/>
      <c r="M10" s="69"/>
      <c r="N10" s="68"/>
      <c r="O10" s="68"/>
      <c r="P10" s="68"/>
      <c r="Q10" s="69"/>
      <c r="R10" s="69"/>
      <c r="S10" s="68"/>
      <c r="T10" s="68"/>
    </row>
    <row r="11" spans="2:20" s="61" customFormat="1" ht="20.25" customHeight="1">
      <c r="B11" s="376" t="s">
        <v>143</v>
      </c>
      <c r="C11" s="379" t="s">
        <v>144</v>
      </c>
      <c r="D11" s="380"/>
      <c r="E11" s="376" t="s">
        <v>145</v>
      </c>
      <c r="F11" s="225" t="s">
        <v>146</v>
      </c>
      <c r="G11" s="226"/>
      <c r="H11" s="226"/>
      <c r="I11" s="226"/>
      <c r="J11" s="226"/>
      <c r="K11" s="226"/>
      <c r="L11" s="226"/>
      <c r="M11" s="226"/>
      <c r="N11" s="226"/>
      <c r="O11" s="226"/>
      <c r="P11" s="220"/>
      <c r="Q11" s="376" t="s">
        <v>177</v>
      </c>
      <c r="R11" s="376" t="s">
        <v>176</v>
      </c>
      <c r="S11" s="376" t="s">
        <v>175</v>
      </c>
      <c r="T11" s="376" t="s">
        <v>260</v>
      </c>
    </row>
    <row r="12" spans="2:20" s="61" customFormat="1" ht="15" customHeight="1">
      <c r="B12" s="377"/>
      <c r="C12" s="381"/>
      <c r="D12" s="382"/>
      <c r="E12" s="377"/>
      <c r="F12" s="70" t="s">
        <v>148</v>
      </c>
      <c r="G12" s="71" t="s">
        <v>244</v>
      </c>
      <c r="H12" s="326"/>
      <c r="I12" s="72"/>
      <c r="J12" s="70" t="s">
        <v>148</v>
      </c>
      <c r="K12" s="71"/>
      <c r="L12" s="326"/>
      <c r="M12" s="72"/>
      <c r="N12" s="73" t="s">
        <v>149</v>
      </c>
      <c r="O12" s="102"/>
      <c r="P12" s="78"/>
      <c r="Q12" s="385"/>
      <c r="R12" s="385"/>
      <c r="S12" s="385"/>
      <c r="T12" s="385"/>
    </row>
    <row r="13" spans="2:20" s="61" customFormat="1" ht="15" customHeight="1">
      <c r="B13" s="377"/>
      <c r="C13" s="381"/>
      <c r="D13" s="382"/>
      <c r="E13" s="377"/>
      <c r="F13" s="74" t="s">
        <v>150</v>
      </c>
      <c r="G13" s="75">
        <v>1354</v>
      </c>
      <c r="H13" s="327" t="s">
        <v>151</v>
      </c>
      <c r="I13" s="76"/>
      <c r="J13" s="74" t="s">
        <v>150</v>
      </c>
      <c r="K13" s="77"/>
      <c r="L13" s="327" t="s">
        <v>151</v>
      </c>
      <c r="M13" s="76"/>
      <c r="N13" s="78" t="s">
        <v>152</v>
      </c>
      <c r="O13" s="78" t="s">
        <v>217</v>
      </c>
      <c r="P13" s="78" t="s">
        <v>219</v>
      </c>
      <c r="Q13" s="385"/>
      <c r="R13" s="385"/>
      <c r="S13" s="385"/>
      <c r="T13" s="385"/>
    </row>
    <row r="14" spans="2:20" s="61" customFormat="1" ht="15" customHeight="1">
      <c r="B14" s="377"/>
      <c r="C14" s="381"/>
      <c r="D14" s="382"/>
      <c r="E14" s="377"/>
      <c r="F14" s="73" t="s">
        <v>153</v>
      </c>
      <c r="G14" s="73" t="s">
        <v>154</v>
      </c>
      <c r="H14" s="73" t="s">
        <v>155</v>
      </c>
      <c r="I14" s="78" t="s">
        <v>250</v>
      </c>
      <c r="J14" s="73" t="s">
        <v>153</v>
      </c>
      <c r="K14" s="73" t="s">
        <v>154</v>
      </c>
      <c r="L14" s="73" t="s">
        <v>155</v>
      </c>
      <c r="M14" s="78" t="s">
        <v>250</v>
      </c>
      <c r="N14" s="78" t="s">
        <v>156</v>
      </c>
      <c r="O14" s="78" t="s">
        <v>218</v>
      </c>
      <c r="P14" s="78" t="s">
        <v>220</v>
      </c>
      <c r="Q14" s="385"/>
      <c r="R14" s="385"/>
      <c r="S14" s="385"/>
      <c r="T14" s="385"/>
    </row>
    <row r="15" spans="2:20" s="61" customFormat="1" ht="15" customHeight="1">
      <c r="B15" s="378"/>
      <c r="C15" s="383"/>
      <c r="D15" s="384"/>
      <c r="E15" s="378"/>
      <c r="F15" s="79" t="s">
        <v>157</v>
      </c>
      <c r="G15" s="79" t="s">
        <v>158</v>
      </c>
      <c r="H15" s="79" t="s">
        <v>147</v>
      </c>
      <c r="I15" s="79" t="s">
        <v>172</v>
      </c>
      <c r="J15" s="79" t="s">
        <v>157</v>
      </c>
      <c r="K15" s="79" t="s">
        <v>158</v>
      </c>
      <c r="L15" s="79" t="s">
        <v>147</v>
      </c>
      <c r="M15" s="79" t="s">
        <v>172</v>
      </c>
      <c r="N15" s="79" t="s">
        <v>159</v>
      </c>
      <c r="O15" s="79"/>
      <c r="P15" s="79"/>
      <c r="Q15" s="386"/>
      <c r="R15" s="386"/>
      <c r="S15" s="386"/>
      <c r="T15" s="386"/>
    </row>
    <row r="16" spans="2:24" s="61" customFormat="1" ht="20.25" customHeight="1">
      <c r="B16" s="120" t="str">
        <f>'ICP108T-A'!D14</f>
        <v>016</v>
      </c>
      <c r="C16" s="221" t="str">
        <f>'ICP108T-A'!B14</f>
        <v>ChØ may </v>
      </c>
      <c r="D16" s="119"/>
      <c r="E16" s="121" t="str">
        <f>'ICP108T-A'!E14</f>
        <v>MET</v>
      </c>
      <c r="F16" s="311">
        <v>291.362</v>
      </c>
      <c r="G16" s="80">
        <v>0.03</v>
      </c>
      <c r="H16" s="81">
        <f aca="true" t="shared" si="0" ref="H16:H21">F16*$G$13*1.03</f>
        <v>406339.27244000003</v>
      </c>
      <c r="I16" s="81"/>
      <c r="J16" s="260"/>
      <c r="K16" s="80"/>
      <c r="L16" s="81">
        <f aca="true" t="shared" si="1" ref="L16:L21">J16*$K$13*1.03</f>
        <v>0</v>
      </c>
      <c r="M16" s="81"/>
      <c r="N16" s="81">
        <f aca="true" t="shared" si="2" ref="N16:N21">SUM(H16+L16)</f>
        <v>406339.27244000003</v>
      </c>
      <c r="O16" s="81"/>
      <c r="P16" s="81">
        <f aca="true" t="shared" si="3" ref="P16:P21">N16-O16</f>
        <v>406339.27244000003</v>
      </c>
      <c r="Q16" s="83">
        <v>2</v>
      </c>
      <c r="R16" s="84">
        <f aca="true" t="shared" si="4" ref="R16:R21">Q16*P16</f>
        <v>812678.5448800001</v>
      </c>
      <c r="S16" s="82" t="s">
        <v>172</v>
      </c>
      <c r="T16" s="82"/>
      <c r="W16" s="124">
        <f>P16+P61</f>
        <v>5677375.0792000005</v>
      </c>
      <c r="X16" s="124"/>
    </row>
    <row r="17" spans="2:24" s="61" customFormat="1" ht="20.25" customHeight="1">
      <c r="B17" s="35" t="s">
        <v>66</v>
      </c>
      <c r="C17" s="222" t="s">
        <v>216</v>
      </c>
      <c r="D17" s="91"/>
      <c r="E17" s="33" t="s">
        <v>167</v>
      </c>
      <c r="F17" s="417">
        <v>5</v>
      </c>
      <c r="G17" s="86">
        <v>0.03</v>
      </c>
      <c r="H17" s="87">
        <f t="shared" si="0"/>
        <v>6973.1</v>
      </c>
      <c r="I17" s="87"/>
      <c r="J17" s="219"/>
      <c r="K17" s="86"/>
      <c r="L17" s="87">
        <f t="shared" si="1"/>
        <v>0</v>
      </c>
      <c r="M17" s="87"/>
      <c r="N17" s="87">
        <f>SUM(H17+L17)</f>
        <v>6973.1</v>
      </c>
      <c r="O17" s="87"/>
      <c r="P17" s="87">
        <f>N17-O17</f>
        <v>6973.1</v>
      </c>
      <c r="Q17" s="89">
        <v>50</v>
      </c>
      <c r="R17" s="90">
        <f>Q17*P17</f>
        <v>348655</v>
      </c>
      <c r="S17" s="88" t="s">
        <v>221</v>
      </c>
      <c r="T17" s="88"/>
      <c r="W17" s="124">
        <f>P17+P63</f>
        <v>93730.00000000001</v>
      </c>
      <c r="X17" s="124"/>
    </row>
    <row r="18" spans="2:24" s="61" customFormat="1" ht="20.25" customHeight="1">
      <c r="B18" s="35" t="s">
        <v>74</v>
      </c>
      <c r="C18" s="222" t="s">
        <v>73</v>
      </c>
      <c r="D18" s="91"/>
      <c r="E18" s="33" t="s">
        <v>167</v>
      </c>
      <c r="F18" s="417">
        <v>1</v>
      </c>
      <c r="G18" s="86">
        <v>0.03</v>
      </c>
      <c r="H18" s="87">
        <f t="shared" si="0"/>
        <v>1394.6200000000001</v>
      </c>
      <c r="I18" s="87"/>
      <c r="J18" s="219"/>
      <c r="K18" s="86"/>
      <c r="L18" s="87">
        <f t="shared" si="1"/>
        <v>0</v>
      </c>
      <c r="M18" s="87"/>
      <c r="N18" s="87">
        <f t="shared" si="2"/>
        <v>1394.6200000000001</v>
      </c>
      <c r="O18" s="87"/>
      <c r="P18" s="87">
        <f t="shared" si="3"/>
        <v>1394.6200000000001</v>
      </c>
      <c r="Q18" s="89">
        <v>150</v>
      </c>
      <c r="R18" s="90">
        <f t="shared" si="4"/>
        <v>209193.00000000003</v>
      </c>
      <c r="S18" s="88" t="s">
        <v>221</v>
      </c>
      <c r="T18" s="88"/>
      <c r="V18" s="124">
        <f>(P18*G13)/N18</f>
        <v>1354</v>
      </c>
      <c r="W18" s="124" t="e">
        <f>P18+#REF!</f>
        <v>#REF!</v>
      </c>
      <c r="X18" s="124"/>
    </row>
    <row r="19" spans="2:24" s="61" customFormat="1" ht="20.25" customHeight="1">
      <c r="B19" s="27" t="str">
        <f>'ICP108T-A'!D19</f>
        <v>035</v>
      </c>
      <c r="C19" s="222" t="str">
        <f>'ICP108T-A'!B19</f>
        <v>Bao Nylon</v>
      </c>
      <c r="D19" s="91"/>
      <c r="E19" s="33" t="str">
        <f>'ICP108T-A'!E19</f>
        <v>CAI</v>
      </c>
      <c r="F19" s="417">
        <f>'ICP108T-A'!L19</f>
        <v>1</v>
      </c>
      <c r="G19" s="86">
        <v>0.03</v>
      </c>
      <c r="H19" s="87">
        <f t="shared" si="0"/>
        <v>1394.6200000000001</v>
      </c>
      <c r="I19" s="87"/>
      <c r="J19" s="88"/>
      <c r="K19" s="86"/>
      <c r="L19" s="87">
        <f t="shared" si="1"/>
        <v>0</v>
      </c>
      <c r="M19" s="87"/>
      <c r="N19" s="87">
        <f t="shared" si="2"/>
        <v>1394.6200000000001</v>
      </c>
      <c r="O19" s="87"/>
      <c r="P19" s="87">
        <f t="shared" si="3"/>
        <v>1394.6200000000001</v>
      </c>
      <c r="Q19" s="89">
        <v>200</v>
      </c>
      <c r="R19" s="90">
        <f t="shared" si="4"/>
        <v>278924</v>
      </c>
      <c r="S19" s="88" t="s">
        <v>172</v>
      </c>
      <c r="T19" s="88"/>
      <c r="W19" s="124">
        <f>P19+P67</f>
        <v>19487.6</v>
      </c>
      <c r="X19" s="124"/>
    </row>
    <row r="20" spans="2:24" s="61" customFormat="1" ht="20.25" customHeight="1">
      <c r="B20" s="27" t="str">
        <f>'ICP108T-A'!D20</f>
        <v>036</v>
      </c>
      <c r="C20" s="222" t="str">
        <f>'ICP108T-A'!B20</f>
        <v>D©y treo nh·n </v>
      </c>
      <c r="D20" s="91"/>
      <c r="E20" s="33" t="str">
        <f>'ICP108T-A'!E20</f>
        <v>CAI</v>
      </c>
      <c r="F20" s="417">
        <f>'ICP108T-A'!L20</f>
        <v>1</v>
      </c>
      <c r="G20" s="86">
        <v>0.03</v>
      </c>
      <c r="H20" s="87">
        <f t="shared" si="0"/>
        <v>1394.6200000000001</v>
      </c>
      <c r="I20" s="87"/>
      <c r="J20" s="88"/>
      <c r="K20" s="86"/>
      <c r="L20" s="87">
        <f t="shared" si="1"/>
        <v>0</v>
      </c>
      <c r="M20" s="87"/>
      <c r="N20" s="87">
        <f t="shared" si="2"/>
        <v>1394.6200000000001</v>
      </c>
      <c r="O20" s="87"/>
      <c r="P20" s="87">
        <f t="shared" si="3"/>
        <v>1394.6200000000001</v>
      </c>
      <c r="Q20" s="89">
        <v>100</v>
      </c>
      <c r="R20" s="90">
        <f t="shared" si="4"/>
        <v>139462</v>
      </c>
      <c r="S20" s="88" t="s">
        <v>172</v>
      </c>
      <c r="T20" s="88"/>
      <c r="W20" s="124">
        <f>P20+P68</f>
        <v>19487.6</v>
      </c>
      <c r="X20" s="124"/>
    </row>
    <row r="21" spans="2:24" s="61" customFormat="1" ht="20.25" customHeight="1">
      <c r="B21" s="27" t="str">
        <f>'ICP108T-A'!D22</f>
        <v>041</v>
      </c>
      <c r="C21" s="222" t="str">
        <f>'ICP108T-A'!B22</f>
        <v>Thïng Carton </v>
      </c>
      <c r="D21" s="91"/>
      <c r="E21" s="33" t="str">
        <f>'ICP108T-A'!E22</f>
        <v>CAI</v>
      </c>
      <c r="F21" s="85">
        <v>0.084</v>
      </c>
      <c r="G21" s="86">
        <v>0.03</v>
      </c>
      <c r="H21" s="87">
        <f t="shared" si="0"/>
        <v>117.14808000000001</v>
      </c>
      <c r="I21" s="87"/>
      <c r="J21" s="88"/>
      <c r="K21" s="86"/>
      <c r="L21" s="87">
        <f t="shared" si="1"/>
        <v>0</v>
      </c>
      <c r="M21" s="87"/>
      <c r="N21" s="87">
        <f t="shared" si="2"/>
        <v>117.14808000000001</v>
      </c>
      <c r="O21" s="87"/>
      <c r="P21" s="87">
        <f t="shared" si="3"/>
        <v>117.14808000000001</v>
      </c>
      <c r="Q21" s="89">
        <v>7500</v>
      </c>
      <c r="R21" s="90">
        <f t="shared" si="4"/>
        <v>878610.6000000001</v>
      </c>
      <c r="S21" s="88" t="s">
        <v>172</v>
      </c>
      <c r="T21" s="88"/>
      <c r="W21" s="124">
        <f>P21+P70</f>
        <v>1636.9584000000002</v>
      </c>
      <c r="X21" s="124"/>
    </row>
    <row r="22" spans="2:24" s="61" customFormat="1" ht="20.25" customHeight="1">
      <c r="B22" s="92"/>
      <c r="C22" s="93" t="s">
        <v>160</v>
      </c>
      <c r="D22" s="94"/>
      <c r="E22" s="95"/>
      <c r="F22" s="96"/>
      <c r="G22" s="96"/>
      <c r="H22" s="97"/>
      <c r="I22" s="97"/>
      <c r="J22" s="96"/>
      <c r="K22" s="96"/>
      <c r="L22" s="97"/>
      <c r="M22" s="97"/>
      <c r="N22" s="97"/>
      <c r="O22" s="97"/>
      <c r="P22" s="97"/>
      <c r="Q22" s="98" t="s">
        <v>161</v>
      </c>
      <c r="R22" s="99">
        <f>SUM(R16:R21)</f>
        <v>2667523.14488</v>
      </c>
      <c r="S22" s="100"/>
      <c r="T22" s="100"/>
      <c r="W22" s="227">
        <f>R22+R73</f>
        <v>38612629.1584</v>
      </c>
      <c r="X22" s="61" t="s">
        <v>222</v>
      </c>
    </row>
    <row r="23" ht="6.75" customHeight="1"/>
    <row r="24" ht="18" customHeight="1">
      <c r="C24" s="103" t="s">
        <v>162</v>
      </c>
    </row>
    <row r="25" spans="4:16" ht="15.75" customHeight="1">
      <c r="D25" s="324" t="s">
        <v>249</v>
      </c>
      <c r="O25" s="104"/>
      <c r="P25" s="104" t="s">
        <v>173</v>
      </c>
    </row>
    <row r="26" spans="14:18" ht="14.25">
      <c r="N26" s="105"/>
      <c r="O26" s="105"/>
      <c r="P26" s="105"/>
      <c r="Q26" s="105"/>
      <c r="R26" s="105"/>
    </row>
    <row r="27" spans="14:18" ht="11.25" customHeight="1">
      <c r="N27" s="375"/>
      <c r="O27" s="375"/>
      <c r="P27" s="375"/>
      <c r="Q27" s="375"/>
      <c r="R27" s="106"/>
    </row>
    <row r="28" spans="14:18" ht="14.25">
      <c r="N28" s="107"/>
      <c r="O28" s="107"/>
      <c r="P28" s="107"/>
      <c r="Q28" s="107"/>
      <c r="R28" s="107"/>
    </row>
    <row r="29" spans="11:18" ht="14.25">
      <c r="K29" s="108"/>
      <c r="N29" s="109"/>
      <c r="O29" s="109"/>
      <c r="P29" s="109"/>
      <c r="Q29" s="109"/>
      <c r="R29" s="109"/>
    </row>
    <row r="30" ht="14.25">
      <c r="R30" s="106"/>
    </row>
    <row r="31" spans="14:17" ht="14.25">
      <c r="N31" s="375"/>
      <c r="O31" s="375"/>
      <c r="P31" s="375"/>
      <c r="Q31" s="375"/>
    </row>
    <row r="46" spans="2:20" ht="21">
      <c r="B46" s="57" t="s">
        <v>129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2:20" ht="14.25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2:20" ht="15.75">
      <c r="B48" s="62" t="s">
        <v>130</v>
      </c>
      <c r="C48" s="61"/>
      <c r="D48" s="61"/>
      <c r="E48" s="63"/>
      <c r="F48" s="63" t="s">
        <v>131</v>
      </c>
      <c r="G48" s="63"/>
      <c r="H48" s="63" t="s">
        <v>132</v>
      </c>
      <c r="I48" s="63"/>
      <c r="J48" s="64"/>
      <c r="K48" s="62"/>
      <c r="L48" s="62" t="s">
        <v>133</v>
      </c>
      <c r="M48" s="62"/>
      <c r="N48" s="61"/>
      <c r="O48" s="61"/>
      <c r="P48" s="61"/>
      <c r="Q48" s="61"/>
      <c r="R48" s="61"/>
      <c r="S48" s="61"/>
      <c r="T48" s="61"/>
    </row>
    <row r="49" spans="2:20" ht="15.75">
      <c r="B49" s="62" t="s">
        <v>134</v>
      </c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1"/>
      <c r="O49" s="61"/>
      <c r="P49" s="61"/>
      <c r="Q49" s="61"/>
      <c r="R49" s="61"/>
      <c r="S49" s="61"/>
      <c r="T49" s="61"/>
    </row>
    <row r="50" spans="2:20" ht="17.25">
      <c r="B50" s="62" t="s">
        <v>135</v>
      </c>
      <c r="C50" s="61"/>
      <c r="D50" s="61"/>
      <c r="E50" s="123" t="s">
        <v>136</v>
      </c>
      <c r="F50" s="62"/>
      <c r="G50" s="62"/>
      <c r="H50" s="62"/>
      <c r="I50" s="62"/>
      <c r="J50" s="62" t="s">
        <v>137</v>
      </c>
      <c r="K50" s="62"/>
      <c r="L50" s="62"/>
      <c r="M50" s="62"/>
      <c r="N50" s="61"/>
      <c r="O50" s="61"/>
      <c r="P50" s="61"/>
      <c r="Q50" s="61"/>
      <c r="R50" s="61"/>
      <c r="S50" s="61"/>
      <c r="T50" s="61"/>
    </row>
    <row r="51" spans="2:20" ht="18">
      <c r="B51" s="9" t="s">
        <v>174</v>
      </c>
      <c r="C51" s="61"/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1"/>
      <c r="O51" s="61"/>
      <c r="P51" s="61"/>
      <c r="Q51" s="61"/>
      <c r="R51" s="61"/>
      <c r="S51" s="61"/>
      <c r="T51" s="61"/>
    </row>
    <row r="52" spans="2:20" ht="15.75">
      <c r="B52" s="62" t="s">
        <v>138</v>
      </c>
      <c r="C52" s="61"/>
      <c r="D52" s="61"/>
      <c r="E52" s="62" t="s">
        <v>197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2:20" ht="15.75">
      <c r="B53" s="62" t="s">
        <v>139</v>
      </c>
      <c r="C53" s="61"/>
      <c r="D53" s="61"/>
      <c r="E53" s="61"/>
      <c r="F53" s="61"/>
      <c r="G53" s="61"/>
      <c r="H53" s="62" t="s">
        <v>140</v>
      </c>
      <c r="I53" s="62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2:20" ht="15.75">
      <c r="B54" s="62" t="s">
        <v>141</v>
      </c>
      <c r="C54" s="61"/>
      <c r="D54" s="61"/>
      <c r="E54" s="62" t="s">
        <v>142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2:20" ht="8.25" customHeight="1">
      <c r="B55" s="65"/>
      <c r="C55" s="66"/>
      <c r="D55" s="66"/>
      <c r="E55" s="67"/>
      <c r="F55" s="68"/>
      <c r="G55" s="68"/>
      <c r="H55" s="69"/>
      <c r="I55" s="69"/>
      <c r="J55" s="68"/>
      <c r="K55" s="68"/>
      <c r="L55" s="69"/>
      <c r="M55" s="69"/>
      <c r="N55" s="68"/>
      <c r="O55" s="68"/>
      <c r="P55" s="68"/>
      <c r="Q55" s="69"/>
      <c r="R55" s="69"/>
      <c r="S55" s="68"/>
      <c r="T55" s="68"/>
    </row>
    <row r="56" spans="2:20" ht="15.75">
      <c r="B56" s="376" t="s">
        <v>143</v>
      </c>
      <c r="C56" s="379" t="s">
        <v>144</v>
      </c>
      <c r="D56" s="380"/>
      <c r="E56" s="376" t="s">
        <v>145</v>
      </c>
      <c r="F56" s="225" t="s">
        <v>146</v>
      </c>
      <c r="G56" s="226"/>
      <c r="H56" s="226"/>
      <c r="I56" s="226"/>
      <c r="J56" s="226"/>
      <c r="K56" s="226"/>
      <c r="L56" s="226"/>
      <c r="M56" s="226"/>
      <c r="N56" s="226"/>
      <c r="O56" s="226"/>
      <c r="P56" s="220"/>
      <c r="Q56" s="376" t="s">
        <v>177</v>
      </c>
      <c r="R56" s="376" t="s">
        <v>176</v>
      </c>
      <c r="S56" s="376" t="s">
        <v>175</v>
      </c>
      <c r="T56" s="376" t="s">
        <v>260</v>
      </c>
    </row>
    <row r="57" spans="2:20" ht="15.75">
      <c r="B57" s="377"/>
      <c r="C57" s="381"/>
      <c r="D57" s="382"/>
      <c r="E57" s="377"/>
      <c r="F57" s="70" t="s">
        <v>148</v>
      </c>
      <c r="G57" s="71" t="s">
        <v>244</v>
      </c>
      <c r="H57" s="326"/>
      <c r="I57" s="72"/>
      <c r="J57" s="70" t="s">
        <v>148</v>
      </c>
      <c r="K57" s="71" t="s">
        <v>246</v>
      </c>
      <c r="L57" s="326"/>
      <c r="M57" s="72"/>
      <c r="N57" s="73" t="s">
        <v>149</v>
      </c>
      <c r="P57" s="78"/>
      <c r="Q57" s="385"/>
      <c r="R57" s="385"/>
      <c r="S57" s="385"/>
      <c r="T57" s="385"/>
    </row>
    <row r="58" spans="2:20" ht="14.25">
      <c r="B58" s="377"/>
      <c r="C58" s="381"/>
      <c r="D58" s="382"/>
      <c r="E58" s="377"/>
      <c r="F58" s="74" t="s">
        <v>150</v>
      </c>
      <c r="G58" s="75">
        <v>15766</v>
      </c>
      <c r="H58" s="327" t="s">
        <v>151</v>
      </c>
      <c r="I58" s="76"/>
      <c r="J58" s="74" t="s">
        <v>150</v>
      </c>
      <c r="K58" s="77">
        <v>1800</v>
      </c>
      <c r="L58" s="327" t="s">
        <v>151</v>
      </c>
      <c r="M58" s="76"/>
      <c r="N58" s="78" t="s">
        <v>152</v>
      </c>
      <c r="O58" s="78" t="s">
        <v>217</v>
      </c>
      <c r="P58" s="78" t="s">
        <v>219</v>
      </c>
      <c r="Q58" s="385"/>
      <c r="R58" s="385"/>
      <c r="S58" s="385"/>
      <c r="T58" s="385"/>
    </row>
    <row r="59" spans="2:20" ht="14.25">
      <c r="B59" s="377"/>
      <c r="C59" s="381"/>
      <c r="D59" s="382"/>
      <c r="E59" s="377"/>
      <c r="F59" s="73" t="s">
        <v>153</v>
      </c>
      <c r="G59" s="73" t="s">
        <v>154</v>
      </c>
      <c r="H59" s="73" t="s">
        <v>155</v>
      </c>
      <c r="I59" s="78" t="s">
        <v>250</v>
      </c>
      <c r="J59" s="73" t="s">
        <v>153</v>
      </c>
      <c r="K59" s="73" t="s">
        <v>154</v>
      </c>
      <c r="L59" s="78" t="s">
        <v>155</v>
      </c>
      <c r="M59" s="78" t="s">
        <v>250</v>
      </c>
      <c r="N59" s="78" t="s">
        <v>156</v>
      </c>
      <c r="O59" s="78" t="s">
        <v>218</v>
      </c>
      <c r="P59" s="78" t="s">
        <v>220</v>
      </c>
      <c r="Q59" s="385"/>
      <c r="R59" s="385"/>
      <c r="S59" s="385"/>
      <c r="T59" s="385"/>
    </row>
    <row r="60" spans="2:22" ht="14.25">
      <c r="B60" s="378"/>
      <c r="C60" s="383"/>
      <c r="D60" s="384"/>
      <c r="E60" s="378"/>
      <c r="F60" s="79" t="s">
        <v>157</v>
      </c>
      <c r="G60" s="79" t="s">
        <v>158</v>
      </c>
      <c r="H60" s="79" t="s">
        <v>147</v>
      </c>
      <c r="I60" s="79" t="s">
        <v>172</v>
      </c>
      <c r="J60" s="79" t="s">
        <v>157</v>
      </c>
      <c r="K60" s="79" t="s">
        <v>158</v>
      </c>
      <c r="L60" s="79" t="s">
        <v>147</v>
      </c>
      <c r="M60" s="79" t="s">
        <v>172</v>
      </c>
      <c r="N60" s="79" t="s">
        <v>159</v>
      </c>
      <c r="O60" s="79"/>
      <c r="P60" s="79"/>
      <c r="Q60" s="386"/>
      <c r="R60" s="386"/>
      <c r="S60" s="386"/>
      <c r="T60" s="386"/>
      <c r="U60" s="328" t="s">
        <v>172</v>
      </c>
      <c r="V60" s="328" t="s">
        <v>251</v>
      </c>
    </row>
    <row r="61" spans="2:23" ht="15">
      <c r="B61" s="120" t="str">
        <f>'DANH MUC NPL'!C27</f>
        <v>016</v>
      </c>
      <c r="C61" s="223" t="str">
        <f>'DANH MUC NPL'!B27</f>
        <v>ChØ may </v>
      </c>
      <c r="D61" s="119"/>
      <c r="E61" s="121" t="str">
        <f>'DANH MUC NPL'!D27</f>
        <v>MET</v>
      </c>
      <c r="F61" s="310">
        <v>291.362</v>
      </c>
      <c r="G61" s="80">
        <v>0.03</v>
      </c>
      <c r="H61" s="81">
        <f>F61*$G$58*1.03</f>
        <v>4731421.690760001</v>
      </c>
      <c r="I61" s="80">
        <v>1</v>
      </c>
      <c r="J61" s="82">
        <v>291.054</v>
      </c>
      <c r="K61" s="80">
        <v>0.03</v>
      </c>
      <c r="L61" s="81">
        <f>J61*$K$58*1.03</f>
        <v>539614.1159999999</v>
      </c>
      <c r="M61" s="80">
        <v>1</v>
      </c>
      <c r="N61" s="81">
        <f>SUM(H61+L61)</f>
        <v>5271035.80676</v>
      </c>
      <c r="O61" s="81">
        <v>0</v>
      </c>
      <c r="P61" s="81">
        <f>N61-O61</f>
        <v>5271035.80676</v>
      </c>
      <c r="Q61" s="83">
        <v>2</v>
      </c>
      <c r="R61" s="84">
        <f>Q61*P61</f>
        <v>10542071.61352</v>
      </c>
      <c r="S61" s="82" t="s">
        <v>172</v>
      </c>
      <c r="T61" s="339"/>
      <c r="W61" s="312"/>
    </row>
    <row r="62" spans="2:26" ht="15">
      <c r="B62" s="27" t="str">
        <f>'DANH MUC NPL'!C28</f>
        <v>017</v>
      </c>
      <c r="C62" s="224" t="str">
        <f>'DANH MUC NPL'!B28</f>
        <v>D©y kÐo </v>
      </c>
      <c r="D62" s="91"/>
      <c r="E62" s="33" t="str">
        <f>'DANH MUC NPL'!D28</f>
        <v>CAI</v>
      </c>
      <c r="F62" s="322"/>
      <c r="G62" s="318"/>
      <c r="H62" s="87"/>
      <c r="I62" s="329"/>
      <c r="J62" s="320">
        <v>1</v>
      </c>
      <c r="K62" s="318">
        <v>0.03</v>
      </c>
      <c r="L62" s="87">
        <f>J62*$K$58*1.03</f>
        <v>1854</v>
      </c>
      <c r="M62" s="329">
        <v>0.2056</v>
      </c>
      <c r="N62" s="87">
        <f>SUM(H62+L62)</f>
        <v>1854</v>
      </c>
      <c r="O62" s="319">
        <f>N62-P62</f>
        <v>1472.78</v>
      </c>
      <c r="P62" s="87">
        <v>381.22</v>
      </c>
      <c r="Q62" s="321">
        <v>750</v>
      </c>
      <c r="R62" s="90">
        <f>Q62*P62</f>
        <v>285915</v>
      </c>
      <c r="S62" s="88" t="s">
        <v>221</v>
      </c>
      <c r="T62" s="340" t="s">
        <v>254</v>
      </c>
      <c r="U62" s="312">
        <f>H62+L62-O62</f>
        <v>381.22</v>
      </c>
      <c r="V62" s="312">
        <f>(U62*100)/L62</f>
        <v>20.562028047464942</v>
      </c>
      <c r="W62" s="312">
        <f>L62*M62</f>
        <v>381.18240000000003</v>
      </c>
      <c r="X62" s="331">
        <f>(U62*$K$58)/L62</f>
        <v>370.11650485436894</v>
      </c>
      <c r="Y62" s="102">
        <f>X62/$K$58</f>
        <v>0.20562028047464942</v>
      </c>
      <c r="Z62" s="102">
        <f>Y62</f>
        <v>0.20562028047464942</v>
      </c>
    </row>
    <row r="63" spans="2:24" ht="15">
      <c r="B63" s="35" t="s">
        <v>66</v>
      </c>
      <c r="C63" s="222" t="s">
        <v>216</v>
      </c>
      <c r="D63" s="91"/>
      <c r="E63" s="33" t="s">
        <v>167</v>
      </c>
      <c r="F63" s="323">
        <v>5</v>
      </c>
      <c r="G63" s="86">
        <v>0.03</v>
      </c>
      <c r="H63" s="87">
        <f>F63*$G$58*1.03</f>
        <v>81194.90000000001</v>
      </c>
      <c r="I63" s="86">
        <v>1</v>
      </c>
      <c r="J63" s="88">
        <v>3</v>
      </c>
      <c r="K63" s="86">
        <v>0.03</v>
      </c>
      <c r="L63" s="87">
        <f>J63*$K$58*1.03</f>
        <v>5562</v>
      </c>
      <c r="M63" s="86">
        <v>1</v>
      </c>
      <c r="N63" s="87">
        <f>SUM(H63+L63)</f>
        <v>86756.90000000001</v>
      </c>
      <c r="O63" s="87"/>
      <c r="P63" s="87">
        <f aca="true" t="shared" si="5" ref="P63:P68">N63-O63</f>
        <v>86756.90000000001</v>
      </c>
      <c r="Q63" s="89">
        <v>50</v>
      </c>
      <c r="R63" s="90">
        <f>Q63*P63</f>
        <v>4337845</v>
      </c>
      <c r="S63" s="88" t="s">
        <v>172</v>
      </c>
      <c r="T63" s="340"/>
      <c r="U63" s="312"/>
      <c r="V63" s="312"/>
      <c r="W63" s="312">
        <f aca="true" t="shared" si="6" ref="W63:W72">L63*M63</f>
        <v>5562</v>
      </c>
      <c r="X63" s="332"/>
    </row>
    <row r="64" spans="2:26" ht="15">
      <c r="B64" s="27" t="str">
        <f>'DANH MUC NPL'!C36</f>
        <v>025</v>
      </c>
      <c r="C64" s="224" t="str">
        <f>'DANH MUC NPL'!B36</f>
        <v>Nót ®ãng ( 1 bé=2 C¸i)</v>
      </c>
      <c r="D64" s="91"/>
      <c r="E64" s="33" t="str">
        <f>'DANH MUC NPL'!D36</f>
        <v>BO</v>
      </c>
      <c r="F64" s="323"/>
      <c r="G64" s="86"/>
      <c r="H64" s="87">
        <f aca="true" t="shared" si="7" ref="H64:H70">F64*$G$58*1.03</f>
        <v>0</v>
      </c>
      <c r="I64" s="330"/>
      <c r="J64" s="88">
        <v>2</v>
      </c>
      <c r="K64" s="86">
        <v>0.03</v>
      </c>
      <c r="L64" s="87">
        <f aca="true" t="shared" si="8" ref="L64:L72">J64*$K$58*1.03</f>
        <v>3708</v>
      </c>
      <c r="M64" s="330">
        <v>0.2025</v>
      </c>
      <c r="N64" s="87">
        <f aca="true" t="shared" si="9" ref="N64:N69">SUM(H64+L64)</f>
        <v>3708</v>
      </c>
      <c r="O64" s="319">
        <f>N64-P64</f>
        <v>2957</v>
      </c>
      <c r="P64" s="87">
        <v>751</v>
      </c>
      <c r="Q64" s="89">
        <v>100</v>
      </c>
      <c r="R64" s="90">
        <f aca="true" t="shared" si="10" ref="R64:R69">Q64*P64</f>
        <v>75100</v>
      </c>
      <c r="S64" s="88" t="s">
        <v>221</v>
      </c>
      <c r="T64" s="340" t="s">
        <v>255</v>
      </c>
      <c r="U64" s="312">
        <f>H64+L64-O64</f>
        <v>751</v>
      </c>
      <c r="V64" s="312">
        <f>(U64*100)/L64</f>
        <v>20.253505933117584</v>
      </c>
      <c r="W64" s="312">
        <f t="shared" si="6"/>
        <v>750.87</v>
      </c>
      <c r="X64" s="331">
        <f>(U64*$K$58)/L64</f>
        <v>364.56310679611653</v>
      </c>
      <c r="Y64" s="102">
        <f>X64/$K$58</f>
        <v>0.20253505933117585</v>
      </c>
      <c r="Z64" s="102">
        <f aca="true" t="shared" si="11" ref="Z64:Z72">Y64</f>
        <v>0.20253505933117585</v>
      </c>
    </row>
    <row r="65" spans="2:24" ht="15">
      <c r="B65" s="27" t="str">
        <f>'DANH MUC NPL'!C39</f>
        <v>028</v>
      </c>
      <c r="C65" s="224" t="str">
        <f>'DANH MUC NPL'!B39</f>
        <v>Nh·n chÝnh (b»ng v¶i)</v>
      </c>
      <c r="D65" s="91"/>
      <c r="E65" s="33" t="str">
        <f>'DANH MUC NPL'!D39</f>
        <v>CAI</v>
      </c>
      <c r="F65" s="323">
        <v>1</v>
      </c>
      <c r="G65" s="86">
        <v>0.03</v>
      </c>
      <c r="H65" s="87">
        <f t="shared" si="7"/>
        <v>16238.98</v>
      </c>
      <c r="I65" s="86">
        <v>1</v>
      </c>
      <c r="J65" s="88">
        <v>1</v>
      </c>
      <c r="K65" s="86">
        <v>0</v>
      </c>
      <c r="L65" s="87">
        <f t="shared" si="8"/>
        <v>1854</v>
      </c>
      <c r="M65" s="86">
        <v>1</v>
      </c>
      <c r="N65" s="87">
        <f t="shared" si="9"/>
        <v>18092.98</v>
      </c>
      <c r="O65" s="87"/>
      <c r="P65" s="87">
        <f t="shared" si="5"/>
        <v>18092.98</v>
      </c>
      <c r="Q65" s="89">
        <v>150</v>
      </c>
      <c r="R65" s="90">
        <f t="shared" si="10"/>
        <v>2713947</v>
      </c>
      <c r="S65" s="88" t="s">
        <v>172</v>
      </c>
      <c r="T65" s="340"/>
      <c r="U65" s="312"/>
      <c r="V65" s="312"/>
      <c r="W65" s="312">
        <f>L65*M65</f>
        <v>1854</v>
      </c>
      <c r="X65" s="332"/>
    </row>
    <row r="66" spans="2:26" ht="15">
      <c r="B66" s="27" t="str">
        <f>'DANH MUC NPL'!C40</f>
        <v>029</v>
      </c>
      <c r="C66" s="224" t="str">
        <f>'DANH MUC NPL'!B40</f>
        <v>Nh·n v¶I c¸c lo¹i</v>
      </c>
      <c r="D66" s="91"/>
      <c r="E66" s="33" t="str">
        <f>'DANH MUC NPL'!D40</f>
        <v>CAI</v>
      </c>
      <c r="F66" s="323"/>
      <c r="G66" s="86"/>
      <c r="H66" s="87"/>
      <c r="I66" s="330"/>
      <c r="J66" s="88">
        <v>2</v>
      </c>
      <c r="K66" s="86">
        <v>0.03</v>
      </c>
      <c r="L66" s="87">
        <f t="shared" si="8"/>
        <v>3708</v>
      </c>
      <c r="M66" s="330">
        <v>0.069</v>
      </c>
      <c r="N66" s="87">
        <f t="shared" si="9"/>
        <v>3708</v>
      </c>
      <c r="O66" s="319">
        <f>N66-P66</f>
        <v>3452.3</v>
      </c>
      <c r="P66" s="87">
        <v>255.7</v>
      </c>
      <c r="Q66" s="89">
        <v>100</v>
      </c>
      <c r="R66" s="90">
        <f t="shared" si="10"/>
        <v>25570</v>
      </c>
      <c r="S66" s="88" t="s">
        <v>221</v>
      </c>
      <c r="T66" s="340" t="s">
        <v>256</v>
      </c>
      <c r="U66" s="312">
        <f>H66+L66-O66</f>
        <v>255.69999999999982</v>
      </c>
      <c r="V66" s="312">
        <f>(U66*100)/L66</f>
        <v>6.895900755124051</v>
      </c>
      <c r="W66" s="312">
        <f t="shared" si="6"/>
        <v>255.85200000000003</v>
      </c>
      <c r="X66" s="331">
        <f>(U66*$K$58)/L66</f>
        <v>124.12621359223292</v>
      </c>
      <c r="Y66" s="102">
        <f>X66/$K$58</f>
        <v>0.06895900755124051</v>
      </c>
      <c r="Z66" s="102">
        <f t="shared" si="11"/>
        <v>0.06895900755124051</v>
      </c>
    </row>
    <row r="67" spans="2:24" ht="15">
      <c r="B67" s="27" t="str">
        <f>'DANH MUC NPL'!C46</f>
        <v>035</v>
      </c>
      <c r="C67" s="224" t="str">
        <f>'DANH MUC NPL'!B46</f>
        <v>Bao Nylon</v>
      </c>
      <c r="D67" s="91"/>
      <c r="E67" s="33" t="str">
        <f>'DANH MUC NPL'!D46</f>
        <v>CAI</v>
      </c>
      <c r="F67" s="323">
        <v>1</v>
      </c>
      <c r="G67" s="86">
        <v>0.03</v>
      </c>
      <c r="H67" s="87">
        <f t="shared" si="7"/>
        <v>16238.98</v>
      </c>
      <c r="I67" s="86">
        <v>1</v>
      </c>
      <c r="J67" s="88">
        <v>1</v>
      </c>
      <c r="K67" s="86">
        <v>0.03</v>
      </c>
      <c r="L67" s="87">
        <f t="shared" si="8"/>
        <v>1854</v>
      </c>
      <c r="M67" s="86">
        <v>1</v>
      </c>
      <c r="N67" s="87">
        <f t="shared" si="9"/>
        <v>18092.98</v>
      </c>
      <c r="O67" s="87">
        <v>0</v>
      </c>
      <c r="P67" s="87">
        <f t="shared" si="5"/>
        <v>18092.98</v>
      </c>
      <c r="Q67" s="89">
        <v>200</v>
      </c>
      <c r="R67" s="90">
        <f t="shared" si="10"/>
        <v>3618596</v>
      </c>
      <c r="S67" s="88" t="s">
        <v>172</v>
      </c>
      <c r="T67" s="340"/>
      <c r="U67" s="312"/>
      <c r="V67" s="312"/>
      <c r="W67" s="312">
        <f t="shared" si="6"/>
        <v>1854</v>
      </c>
      <c r="X67" s="332"/>
    </row>
    <row r="68" spans="2:24" ht="15">
      <c r="B68" s="27" t="str">
        <f>'DANH MUC NPL'!C47</f>
        <v>036</v>
      </c>
      <c r="C68" s="224" t="str">
        <f>'DANH MUC NPL'!B47</f>
        <v>D©y treo nh·n </v>
      </c>
      <c r="D68" s="91"/>
      <c r="E68" s="33" t="str">
        <f>'DANH MUC NPL'!D47</f>
        <v>CAI</v>
      </c>
      <c r="F68" s="323">
        <f>'DANH MUC NPL'!G47</f>
        <v>1</v>
      </c>
      <c r="G68" s="86">
        <v>0.03</v>
      </c>
      <c r="H68" s="87">
        <f t="shared" si="7"/>
        <v>16238.98</v>
      </c>
      <c r="I68" s="86">
        <v>1</v>
      </c>
      <c r="J68" s="88">
        <v>1</v>
      </c>
      <c r="K68" s="86">
        <v>0.03</v>
      </c>
      <c r="L68" s="87">
        <f t="shared" si="8"/>
        <v>1854</v>
      </c>
      <c r="M68" s="86">
        <v>1</v>
      </c>
      <c r="N68" s="87">
        <f t="shared" si="9"/>
        <v>18092.98</v>
      </c>
      <c r="O68" s="87">
        <v>0</v>
      </c>
      <c r="P68" s="87">
        <f t="shared" si="5"/>
        <v>18092.98</v>
      </c>
      <c r="Q68" s="89">
        <v>100</v>
      </c>
      <c r="R68" s="90">
        <f t="shared" si="10"/>
        <v>1809298</v>
      </c>
      <c r="S68" s="88" t="s">
        <v>172</v>
      </c>
      <c r="T68" s="340"/>
      <c r="U68" s="312"/>
      <c r="V68" s="312"/>
      <c r="W68" s="312">
        <f t="shared" si="6"/>
        <v>1854</v>
      </c>
      <c r="X68" s="332"/>
    </row>
    <row r="69" spans="2:26" ht="15">
      <c r="B69" s="27" t="str">
        <f>'DANH MUC NPL'!C50</f>
        <v>039</v>
      </c>
      <c r="C69" s="224" t="str">
        <f>'DANH MUC NPL'!B50</f>
        <v>Mãc treo </v>
      </c>
      <c r="D69" s="91"/>
      <c r="E69" s="33" t="str">
        <f>'DANH MUC NPL'!D50</f>
        <v>CAI</v>
      </c>
      <c r="F69" s="323"/>
      <c r="G69" s="86"/>
      <c r="H69" s="87"/>
      <c r="I69" s="330"/>
      <c r="J69" s="88">
        <v>1</v>
      </c>
      <c r="K69" s="86">
        <v>0.03</v>
      </c>
      <c r="L69" s="87">
        <f t="shared" si="8"/>
        <v>1854</v>
      </c>
      <c r="M69" s="330">
        <v>0.877</v>
      </c>
      <c r="N69" s="87">
        <f t="shared" si="9"/>
        <v>1854</v>
      </c>
      <c r="O69" s="319">
        <f>N69-P69</f>
        <v>228.01999999999998</v>
      </c>
      <c r="P69" s="87">
        <v>1625.98</v>
      </c>
      <c r="Q69" s="89">
        <v>700</v>
      </c>
      <c r="R69" s="90">
        <f t="shared" si="10"/>
        <v>1138186</v>
      </c>
      <c r="S69" s="88" t="s">
        <v>221</v>
      </c>
      <c r="T69" s="340" t="s">
        <v>257</v>
      </c>
      <c r="U69" s="312">
        <f>H69+L69-O69</f>
        <v>1625.98</v>
      </c>
      <c r="V69" s="312">
        <f>(U69*100)/L69</f>
        <v>87.70118662351672</v>
      </c>
      <c r="W69" s="312">
        <f t="shared" si="6"/>
        <v>1625.958</v>
      </c>
      <c r="X69" s="331">
        <f>(U69*$K$58)/L69</f>
        <v>1578.621359223301</v>
      </c>
      <c r="Y69" s="102">
        <f>X69/$K$58</f>
        <v>0.8770118662351671</v>
      </c>
      <c r="Z69" s="102">
        <f t="shared" si="11"/>
        <v>0.8770118662351671</v>
      </c>
    </row>
    <row r="70" spans="2:24" ht="14.25" customHeight="1">
      <c r="B70" s="27" t="str">
        <f>'DANH MUC NPL'!C52</f>
        <v>041</v>
      </c>
      <c r="C70" s="224" t="str">
        <f>'DANH MUC NPL'!B52</f>
        <v>Thïng Carton </v>
      </c>
      <c r="D70" s="91"/>
      <c r="E70" s="33" t="str">
        <f>'DANH MUC NPL'!D52</f>
        <v>CAI</v>
      </c>
      <c r="F70" s="33">
        <f>'DANH MUC NPL'!G52</f>
        <v>0.084</v>
      </c>
      <c r="G70" s="86">
        <v>0.03</v>
      </c>
      <c r="H70" s="87">
        <f t="shared" si="7"/>
        <v>1364.0743200000002</v>
      </c>
      <c r="I70" s="86">
        <v>1</v>
      </c>
      <c r="J70" s="88">
        <v>0.084</v>
      </c>
      <c r="K70" s="86">
        <v>0.03</v>
      </c>
      <c r="L70" s="87">
        <f t="shared" si="8"/>
        <v>155.73600000000002</v>
      </c>
      <c r="M70" s="86">
        <v>1</v>
      </c>
      <c r="N70" s="87">
        <f>SUM(H70+L70)</f>
        <v>1519.8103200000003</v>
      </c>
      <c r="O70" s="87">
        <v>0</v>
      </c>
      <c r="P70" s="87">
        <f>N70-O70</f>
        <v>1519.8103200000003</v>
      </c>
      <c r="Q70" s="89">
        <v>7500</v>
      </c>
      <c r="R70" s="90">
        <f>Q70*P70</f>
        <v>11398577.400000002</v>
      </c>
      <c r="S70" s="88" t="s">
        <v>172</v>
      </c>
      <c r="T70" s="340"/>
      <c r="U70" s="312"/>
      <c r="V70" s="312"/>
      <c r="W70" s="312">
        <f t="shared" si="6"/>
        <v>155.73600000000002</v>
      </c>
      <c r="X70" s="332"/>
    </row>
    <row r="71" spans="2:26" ht="14.25" customHeight="1">
      <c r="B71" s="27" t="str">
        <f>'DANH MUC NPL'!C53</f>
        <v>042</v>
      </c>
      <c r="C71" s="224" t="str">
        <f>'DANH MUC NPL'!B53</f>
        <v>D©y th¾t l­ng </v>
      </c>
      <c r="D71" s="91"/>
      <c r="E71" s="33" t="str">
        <f>'DANH MUC NPL'!D53</f>
        <v>CAI</v>
      </c>
      <c r="F71" s="33"/>
      <c r="G71" s="86"/>
      <c r="H71" s="87">
        <f>F71*$G$58*1.03</f>
        <v>0</v>
      </c>
      <c r="I71" s="330"/>
      <c r="J71" s="88">
        <v>1</v>
      </c>
      <c r="K71" s="86">
        <v>0.03</v>
      </c>
      <c r="L71" s="87">
        <f t="shared" si="8"/>
        <v>1854</v>
      </c>
      <c r="M71" s="330">
        <v>0.5572</v>
      </c>
      <c r="N71" s="87">
        <f>SUM(H71+L71)</f>
        <v>1854</v>
      </c>
      <c r="O71" s="319">
        <f>N71-P71</f>
        <v>821.02</v>
      </c>
      <c r="P71" s="87">
        <v>1032.98</v>
      </c>
      <c r="Q71" s="89">
        <v>200</v>
      </c>
      <c r="R71" s="90">
        <f>Q71*P71</f>
        <v>206596</v>
      </c>
      <c r="S71" s="88" t="s">
        <v>221</v>
      </c>
      <c r="T71" s="340" t="s">
        <v>258</v>
      </c>
      <c r="U71" s="312">
        <f>H71+L71-O71</f>
        <v>1032.98</v>
      </c>
      <c r="V71" s="312">
        <f>(U71*100)/L71</f>
        <v>55.71628910463862</v>
      </c>
      <c r="W71" s="312">
        <f t="shared" si="6"/>
        <v>1033.0488</v>
      </c>
      <c r="X71" s="331">
        <f>(U71*$K$58)/L71</f>
        <v>1002.8932038834952</v>
      </c>
      <c r="Y71" s="102">
        <f>X71/$K$58</f>
        <v>0.5571628910463862</v>
      </c>
      <c r="Z71" s="102">
        <f t="shared" si="11"/>
        <v>0.5571628910463862</v>
      </c>
    </row>
    <row r="72" spans="2:26" ht="14.25" customHeight="1">
      <c r="B72" s="27" t="str">
        <f>'DANH MUC NPL'!C54</f>
        <v>043</v>
      </c>
      <c r="C72" s="224" t="str">
        <f>'DANH MUC NPL'!B54</f>
        <v>§inh t¸n</v>
      </c>
      <c r="D72" s="91"/>
      <c r="E72" s="33" t="str">
        <f>'DANH MUC NPL'!D54</f>
        <v>CAI</v>
      </c>
      <c r="F72" s="33"/>
      <c r="G72" s="86"/>
      <c r="H72" s="87">
        <f>F72*$G$58*1.03</f>
        <v>0</v>
      </c>
      <c r="I72" s="330"/>
      <c r="J72" s="88">
        <v>6</v>
      </c>
      <c r="K72" s="86">
        <v>0.03</v>
      </c>
      <c r="L72" s="87">
        <f t="shared" si="8"/>
        <v>11124</v>
      </c>
      <c r="M72" s="330">
        <v>0.0722</v>
      </c>
      <c r="N72" s="87">
        <f>SUM(H72+L72)</f>
        <v>11124</v>
      </c>
      <c r="O72" s="319">
        <f>N72-P72</f>
        <v>10321.16</v>
      </c>
      <c r="P72" s="87">
        <v>802.84</v>
      </c>
      <c r="Q72" s="89">
        <v>25</v>
      </c>
      <c r="R72" s="90">
        <f>Q72*P72</f>
        <v>20071</v>
      </c>
      <c r="S72" s="88" t="s">
        <v>221</v>
      </c>
      <c r="T72" s="341" t="s">
        <v>259</v>
      </c>
      <c r="U72" s="312">
        <f>H72+L72-O72</f>
        <v>802.8400000000001</v>
      </c>
      <c r="V72" s="312">
        <f>(U72*100)/L72</f>
        <v>7.217188061848257</v>
      </c>
      <c r="W72" s="312">
        <f t="shared" si="6"/>
        <v>803.1528</v>
      </c>
      <c r="X72" s="331">
        <f>(U72*$K$58)/L72</f>
        <v>129.90938511326863</v>
      </c>
      <c r="Y72" s="102">
        <f>X72/$K$58</f>
        <v>0.07217188061848256</v>
      </c>
      <c r="Z72" s="102">
        <f t="shared" si="11"/>
        <v>0.07217188061848256</v>
      </c>
    </row>
    <row r="73" spans="2:20" ht="15.75">
      <c r="B73" s="92"/>
      <c r="C73" s="93" t="s">
        <v>160</v>
      </c>
      <c r="D73" s="94"/>
      <c r="E73" s="95"/>
      <c r="F73" s="96"/>
      <c r="G73" s="96"/>
      <c r="H73" s="97"/>
      <c r="I73" s="97"/>
      <c r="J73" s="96"/>
      <c r="K73" s="96"/>
      <c r="L73" s="97"/>
      <c r="M73" s="97"/>
      <c r="N73" s="97"/>
      <c r="O73" s="97"/>
      <c r="P73" s="97"/>
      <c r="Q73" s="98" t="s">
        <v>161</v>
      </c>
      <c r="R73" s="99">
        <f>SUM(R61:R70)</f>
        <v>35945106.01352</v>
      </c>
      <c r="S73" s="100"/>
      <c r="T73" s="79"/>
    </row>
    <row r="75" ht="14.25">
      <c r="C75" s="103" t="s">
        <v>162</v>
      </c>
    </row>
    <row r="76" spans="4:16" ht="17.25">
      <c r="D76" s="324" t="s">
        <v>249</v>
      </c>
      <c r="N76" s="104" t="s">
        <v>173</v>
      </c>
      <c r="O76" s="104"/>
      <c r="P76" s="104"/>
    </row>
    <row r="82" ht="15" customHeight="1"/>
    <row r="89" spans="2:24" ht="21">
      <c r="B89" s="57" t="s">
        <v>129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9"/>
      <c r="V89" s="59"/>
      <c r="W89" s="59"/>
      <c r="X89" s="59"/>
    </row>
    <row r="90" spans="2:24" ht="14.25"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</row>
    <row r="91" spans="2:24" ht="15.75">
      <c r="B91" s="62" t="s">
        <v>130</v>
      </c>
      <c r="C91" s="61"/>
      <c r="D91" s="61"/>
      <c r="E91" s="63"/>
      <c r="F91" s="63" t="s">
        <v>131</v>
      </c>
      <c r="G91" s="63"/>
      <c r="H91" s="63" t="s">
        <v>132</v>
      </c>
      <c r="I91" s="63"/>
      <c r="J91" s="64"/>
      <c r="K91" s="62"/>
      <c r="L91" s="62" t="s">
        <v>133</v>
      </c>
      <c r="M91" s="62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</row>
    <row r="92" spans="2:24" ht="15.75">
      <c r="B92" s="62" t="s">
        <v>134</v>
      </c>
      <c r="C92" s="61"/>
      <c r="D92" s="61"/>
      <c r="E92" s="62"/>
      <c r="F92" s="62"/>
      <c r="G92" s="62"/>
      <c r="H92" s="62"/>
      <c r="I92" s="62"/>
      <c r="J92" s="62"/>
      <c r="K92" s="62"/>
      <c r="L92" s="62"/>
      <c r="M92" s="62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</row>
    <row r="93" spans="2:24" ht="17.25">
      <c r="B93" s="62" t="s">
        <v>135</v>
      </c>
      <c r="C93" s="61"/>
      <c r="D93" s="61"/>
      <c r="E93" s="123" t="s">
        <v>136</v>
      </c>
      <c r="F93" s="62"/>
      <c r="G93" s="62"/>
      <c r="H93" s="62"/>
      <c r="I93" s="62"/>
      <c r="J93" s="62" t="s">
        <v>137</v>
      </c>
      <c r="K93" s="62"/>
      <c r="L93" s="62"/>
      <c r="M93" s="62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</row>
    <row r="94" spans="2:24" ht="18">
      <c r="B94" s="9" t="s">
        <v>174</v>
      </c>
      <c r="C94" s="61"/>
      <c r="D94" s="61"/>
      <c r="E94" s="62"/>
      <c r="F94" s="62"/>
      <c r="G94" s="62"/>
      <c r="H94" s="62"/>
      <c r="I94" s="62"/>
      <c r="J94" s="62"/>
      <c r="K94" s="62"/>
      <c r="L94" s="62"/>
      <c r="M94" s="62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</row>
    <row r="95" spans="2:24" ht="15.75">
      <c r="B95" s="62" t="s">
        <v>138</v>
      </c>
      <c r="C95" s="61"/>
      <c r="D95" s="61"/>
      <c r="E95" s="62" t="s">
        <v>197</v>
      </c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</row>
    <row r="96" spans="2:24" ht="15.75">
      <c r="B96" s="62" t="s">
        <v>139</v>
      </c>
      <c r="C96" s="61"/>
      <c r="D96" s="61"/>
      <c r="E96" s="61"/>
      <c r="F96" s="61"/>
      <c r="G96" s="61"/>
      <c r="H96" s="62" t="s">
        <v>140</v>
      </c>
      <c r="I96" s="62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</row>
    <row r="97" spans="2:24" ht="15.75">
      <c r="B97" s="62" t="s">
        <v>141</v>
      </c>
      <c r="C97" s="61"/>
      <c r="D97" s="61"/>
      <c r="E97" s="62" t="s">
        <v>142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</row>
    <row r="98" spans="2:24" ht="14.25">
      <c r="B98" s="65"/>
      <c r="C98" s="66"/>
      <c r="D98" s="66"/>
      <c r="E98" s="67"/>
      <c r="F98" s="68"/>
      <c r="G98" s="68"/>
      <c r="H98" s="69"/>
      <c r="I98" s="69"/>
      <c r="J98" s="68"/>
      <c r="K98" s="68"/>
      <c r="L98" s="69"/>
      <c r="M98" s="69"/>
      <c r="N98" s="68"/>
      <c r="O98" s="68"/>
      <c r="P98" s="68"/>
      <c r="Q98" s="69"/>
      <c r="R98" s="69"/>
      <c r="S98" s="68"/>
      <c r="T98" s="68"/>
      <c r="U98" s="61"/>
      <c r="V98" s="61"/>
      <c r="W98" s="61"/>
      <c r="X98" s="61"/>
    </row>
    <row r="99" spans="2:24" ht="15.75">
      <c r="B99" s="376" t="s">
        <v>143</v>
      </c>
      <c r="C99" s="379" t="s">
        <v>144</v>
      </c>
      <c r="D99" s="380"/>
      <c r="E99" s="376" t="s">
        <v>145</v>
      </c>
      <c r="F99" s="225" t="s">
        <v>146</v>
      </c>
      <c r="G99" s="226"/>
      <c r="H99" s="226"/>
      <c r="I99" s="226"/>
      <c r="J99" s="226"/>
      <c r="K99" s="226"/>
      <c r="L99" s="226"/>
      <c r="M99" s="226"/>
      <c r="N99" s="226"/>
      <c r="O99" s="226"/>
      <c r="P99" s="220"/>
      <c r="Q99" s="376" t="s">
        <v>177</v>
      </c>
      <c r="R99" s="376" t="s">
        <v>176</v>
      </c>
      <c r="S99" s="376" t="s">
        <v>175</v>
      </c>
      <c r="T99" s="333"/>
      <c r="U99" s="61"/>
      <c r="V99" s="61"/>
      <c r="W99" s="61"/>
      <c r="X99" s="61"/>
    </row>
    <row r="100" spans="2:24" ht="15.75">
      <c r="B100" s="377"/>
      <c r="C100" s="381"/>
      <c r="D100" s="382"/>
      <c r="E100" s="377"/>
      <c r="F100" s="70" t="s">
        <v>148</v>
      </c>
      <c r="G100" s="71" t="s">
        <v>227</v>
      </c>
      <c r="H100" s="326"/>
      <c r="I100" s="72"/>
      <c r="J100" s="70" t="s">
        <v>148</v>
      </c>
      <c r="K100" s="71"/>
      <c r="L100" s="326"/>
      <c r="M100" s="72"/>
      <c r="N100" s="73" t="s">
        <v>149</v>
      </c>
      <c r="P100" s="78"/>
      <c r="Q100" s="385"/>
      <c r="R100" s="385"/>
      <c r="S100" s="385"/>
      <c r="T100" s="333"/>
      <c r="U100" s="61"/>
      <c r="V100" s="61"/>
      <c r="W100" s="61"/>
      <c r="X100" s="61"/>
    </row>
    <row r="101" spans="2:24" ht="15.75">
      <c r="B101" s="377"/>
      <c r="C101" s="381"/>
      <c r="D101" s="382"/>
      <c r="E101" s="377"/>
      <c r="F101" s="74" t="s">
        <v>150</v>
      </c>
      <c r="G101" s="75">
        <v>3000</v>
      </c>
      <c r="H101" s="327" t="s">
        <v>151</v>
      </c>
      <c r="I101" s="76"/>
      <c r="J101" s="74" t="s">
        <v>150</v>
      </c>
      <c r="K101" s="77"/>
      <c r="L101" s="327" t="s">
        <v>151</v>
      </c>
      <c r="M101" s="76"/>
      <c r="N101" s="78" t="s">
        <v>152</v>
      </c>
      <c r="O101" s="78" t="s">
        <v>217</v>
      </c>
      <c r="P101" s="78" t="s">
        <v>219</v>
      </c>
      <c r="Q101" s="385"/>
      <c r="R101" s="385"/>
      <c r="S101" s="385"/>
      <c r="T101" s="333"/>
      <c r="U101" s="61"/>
      <c r="V101" s="61"/>
      <c r="W101" s="61"/>
      <c r="X101" s="61"/>
    </row>
    <row r="102" spans="2:24" ht="15.75">
      <c r="B102" s="377"/>
      <c r="C102" s="381"/>
      <c r="D102" s="382"/>
      <c r="E102" s="377"/>
      <c r="F102" s="73" t="s">
        <v>153</v>
      </c>
      <c r="G102" s="73" t="s">
        <v>154</v>
      </c>
      <c r="H102" s="73" t="s">
        <v>155</v>
      </c>
      <c r="I102" s="78" t="s">
        <v>250</v>
      </c>
      <c r="J102" s="73" t="s">
        <v>153</v>
      </c>
      <c r="K102" s="73" t="s">
        <v>154</v>
      </c>
      <c r="L102" s="73" t="s">
        <v>155</v>
      </c>
      <c r="M102" s="78" t="s">
        <v>250</v>
      </c>
      <c r="N102" s="78" t="s">
        <v>156</v>
      </c>
      <c r="O102" s="78" t="s">
        <v>218</v>
      </c>
      <c r="P102" s="78" t="s">
        <v>220</v>
      </c>
      <c r="Q102" s="385"/>
      <c r="R102" s="385"/>
      <c r="S102" s="385"/>
      <c r="T102" s="333"/>
      <c r="U102" s="61"/>
      <c r="V102" s="61"/>
      <c r="W102" s="61"/>
      <c r="X102" s="61"/>
    </row>
    <row r="103" spans="2:24" ht="15.75">
      <c r="B103" s="378"/>
      <c r="C103" s="383"/>
      <c r="D103" s="384"/>
      <c r="E103" s="378"/>
      <c r="F103" s="79" t="s">
        <v>157</v>
      </c>
      <c r="G103" s="79" t="s">
        <v>158</v>
      </c>
      <c r="H103" s="79" t="s">
        <v>147</v>
      </c>
      <c r="I103" s="79" t="s">
        <v>172</v>
      </c>
      <c r="J103" s="79" t="s">
        <v>157</v>
      </c>
      <c r="K103" s="79" t="s">
        <v>158</v>
      </c>
      <c r="L103" s="79" t="s">
        <v>147</v>
      </c>
      <c r="M103" s="79" t="s">
        <v>172</v>
      </c>
      <c r="N103" s="79" t="s">
        <v>159</v>
      </c>
      <c r="O103" s="79"/>
      <c r="P103" s="79"/>
      <c r="Q103" s="386"/>
      <c r="R103" s="386"/>
      <c r="S103" s="386"/>
      <c r="T103" s="333"/>
      <c r="U103" s="61"/>
      <c r="V103" s="61"/>
      <c r="W103" s="61"/>
      <c r="X103" s="61"/>
    </row>
    <row r="104" spans="2:24" ht="15" hidden="1">
      <c r="B104" s="120">
        <f>'ICP108T-A'!D90</f>
        <v>0</v>
      </c>
      <c r="C104" s="221">
        <f>'ICP108T-A'!B90</f>
        <v>0</v>
      </c>
      <c r="D104" s="119"/>
      <c r="E104" s="121">
        <f>'ICP108T-A'!E90</f>
        <v>0</v>
      </c>
      <c r="F104" s="311">
        <v>200.194</v>
      </c>
      <c r="G104" s="80">
        <v>0.03</v>
      </c>
      <c r="H104" s="81">
        <f aca="true" t="shared" si="12" ref="H104:H109">F104*$G$13*1.03</f>
        <v>279194.55627999996</v>
      </c>
      <c r="I104" s="81"/>
      <c r="J104" s="260"/>
      <c r="K104" s="80"/>
      <c r="L104" s="81">
        <f aca="true" t="shared" si="13" ref="L104:L109">J104*$K$13*1.03</f>
        <v>0</v>
      </c>
      <c r="M104" s="81"/>
      <c r="N104" s="81">
        <f aca="true" t="shared" si="14" ref="N104:N109">SUM(H104+L104)</f>
        <v>279194.55627999996</v>
      </c>
      <c r="O104" s="81">
        <v>0</v>
      </c>
      <c r="P104" s="81">
        <f aca="true" t="shared" si="15" ref="P104:P109">N104-O104</f>
        <v>279194.55627999996</v>
      </c>
      <c r="Q104" s="83">
        <v>2</v>
      </c>
      <c r="R104" s="84">
        <f aca="true" t="shared" si="16" ref="R104:R109">Q104*P104</f>
        <v>558389.1125599999</v>
      </c>
      <c r="S104" s="82" t="s">
        <v>172</v>
      </c>
      <c r="T104" s="65"/>
      <c r="U104" s="61"/>
      <c r="V104" s="61"/>
      <c r="W104" s="124">
        <f>P104+P143</f>
        <v>279194.55627999996</v>
      </c>
      <c r="X104" s="124"/>
    </row>
    <row r="105" spans="2:24" ht="15" hidden="1">
      <c r="B105" s="35" t="s">
        <v>66</v>
      </c>
      <c r="C105" s="222" t="s">
        <v>216</v>
      </c>
      <c r="D105" s="91"/>
      <c r="E105" s="33" t="s">
        <v>167</v>
      </c>
      <c r="F105" s="218">
        <v>2</v>
      </c>
      <c r="G105" s="86">
        <v>0.03</v>
      </c>
      <c r="H105" s="87">
        <f t="shared" si="12"/>
        <v>2789.2400000000002</v>
      </c>
      <c r="I105" s="87"/>
      <c r="J105" s="219"/>
      <c r="K105" s="86"/>
      <c r="L105" s="87">
        <f t="shared" si="13"/>
        <v>0</v>
      </c>
      <c r="M105" s="87"/>
      <c r="N105" s="87">
        <f t="shared" si="14"/>
        <v>2789.2400000000002</v>
      </c>
      <c r="O105" s="87">
        <v>0</v>
      </c>
      <c r="P105" s="87">
        <f t="shared" si="15"/>
        <v>2789.2400000000002</v>
      </c>
      <c r="Q105" s="89">
        <v>50</v>
      </c>
      <c r="R105" s="90">
        <f t="shared" si="16"/>
        <v>139462</v>
      </c>
      <c r="S105" s="88" t="s">
        <v>172</v>
      </c>
      <c r="T105" s="65"/>
      <c r="U105" s="61"/>
      <c r="V105" s="61"/>
      <c r="W105" s="124">
        <f>P105+P145</f>
        <v>2789.2400000000002</v>
      </c>
      <c r="X105" s="124"/>
    </row>
    <row r="106" spans="2:24" ht="15">
      <c r="B106" s="35" t="s">
        <v>74</v>
      </c>
      <c r="C106" s="222" t="s">
        <v>73</v>
      </c>
      <c r="D106" s="91"/>
      <c r="E106" s="33" t="s">
        <v>167</v>
      </c>
      <c r="F106" s="218">
        <v>1</v>
      </c>
      <c r="G106" s="86">
        <v>0.03</v>
      </c>
      <c r="H106" s="87">
        <f t="shared" si="12"/>
        <v>1394.6200000000001</v>
      </c>
      <c r="I106" s="87"/>
      <c r="J106" s="219"/>
      <c r="K106" s="86"/>
      <c r="L106" s="87">
        <f t="shared" si="13"/>
        <v>0</v>
      </c>
      <c r="M106" s="87"/>
      <c r="N106" s="87">
        <f t="shared" si="14"/>
        <v>1394.6200000000001</v>
      </c>
      <c r="O106" s="87">
        <v>0</v>
      </c>
      <c r="P106" s="87">
        <f t="shared" si="15"/>
        <v>1394.6200000000001</v>
      </c>
      <c r="Q106" s="89">
        <v>150</v>
      </c>
      <c r="R106" s="90">
        <f t="shared" si="16"/>
        <v>209193.00000000003</v>
      </c>
      <c r="S106" s="88" t="s">
        <v>172</v>
      </c>
      <c r="T106" s="65"/>
      <c r="U106" s="61"/>
      <c r="V106" s="61"/>
      <c r="W106" s="124" t="e">
        <f>P106+#REF!</f>
        <v>#REF!</v>
      </c>
      <c r="X106" s="124"/>
    </row>
    <row r="107" spans="2:24" ht="15" hidden="1">
      <c r="B107" s="27">
        <f>'ICP108T-A'!D95</f>
        <v>0</v>
      </c>
      <c r="C107" s="222">
        <f>'ICP108T-A'!B95</f>
        <v>0</v>
      </c>
      <c r="D107" s="91"/>
      <c r="E107" s="33">
        <f>'ICP108T-A'!E95</f>
        <v>0</v>
      </c>
      <c r="F107" s="85">
        <f>'ICP108T-A'!L95</f>
        <v>0</v>
      </c>
      <c r="G107" s="86">
        <v>0.03</v>
      </c>
      <c r="H107" s="87">
        <f t="shared" si="12"/>
        <v>0</v>
      </c>
      <c r="I107" s="87"/>
      <c r="J107" s="88"/>
      <c r="K107" s="86"/>
      <c r="L107" s="87">
        <f t="shared" si="13"/>
        <v>0</v>
      </c>
      <c r="M107" s="87"/>
      <c r="N107" s="87">
        <f t="shared" si="14"/>
        <v>0</v>
      </c>
      <c r="O107" s="87">
        <v>0</v>
      </c>
      <c r="P107" s="87">
        <f t="shared" si="15"/>
        <v>0</v>
      </c>
      <c r="Q107" s="89">
        <v>200</v>
      </c>
      <c r="R107" s="90">
        <f t="shared" si="16"/>
        <v>0</v>
      </c>
      <c r="S107" s="88" t="s">
        <v>172</v>
      </c>
      <c r="T107" s="65"/>
      <c r="U107" s="61"/>
      <c r="V107" s="61"/>
      <c r="W107" s="124">
        <f>P107+P149</f>
        <v>0</v>
      </c>
      <c r="X107" s="124"/>
    </row>
    <row r="108" spans="2:24" ht="15" hidden="1">
      <c r="B108" s="27">
        <f>'ICP108T-A'!D96</f>
        <v>0</v>
      </c>
      <c r="C108" s="222">
        <f>'ICP108T-A'!B96</f>
        <v>0</v>
      </c>
      <c r="D108" s="91"/>
      <c r="E108" s="33">
        <f>'ICP108T-A'!E96</f>
        <v>0</v>
      </c>
      <c r="F108" s="85">
        <f>'ICP108T-A'!L96</f>
        <v>0</v>
      </c>
      <c r="G108" s="86">
        <v>0.03</v>
      </c>
      <c r="H108" s="87">
        <f t="shared" si="12"/>
        <v>0</v>
      </c>
      <c r="I108" s="87"/>
      <c r="J108" s="88"/>
      <c r="K108" s="86"/>
      <c r="L108" s="87">
        <f t="shared" si="13"/>
        <v>0</v>
      </c>
      <c r="M108" s="87"/>
      <c r="N108" s="87">
        <f t="shared" si="14"/>
        <v>0</v>
      </c>
      <c r="O108" s="87">
        <v>0</v>
      </c>
      <c r="P108" s="87">
        <f t="shared" si="15"/>
        <v>0</v>
      </c>
      <c r="Q108" s="89">
        <v>100</v>
      </c>
      <c r="R108" s="90">
        <f t="shared" si="16"/>
        <v>0</v>
      </c>
      <c r="S108" s="88" t="s">
        <v>172</v>
      </c>
      <c r="T108" s="65"/>
      <c r="U108" s="61"/>
      <c r="V108" s="61"/>
      <c r="W108" s="124">
        <f>P108+P150</f>
        <v>0</v>
      </c>
      <c r="X108" s="124"/>
    </row>
    <row r="109" spans="2:24" ht="15" hidden="1">
      <c r="B109" s="27">
        <f>'ICP108T-A'!D98</f>
        <v>0</v>
      </c>
      <c r="C109" s="222">
        <f>'ICP108T-A'!B98</f>
        <v>0</v>
      </c>
      <c r="D109" s="91"/>
      <c r="E109" s="33">
        <f>'ICP108T-A'!E98</f>
        <v>0</v>
      </c>
      <c r="F109" s="85">
        <f>'ICP108T-A'!L98</f>
        <v>0</v>
      </c>
      <c r="G109" s="86">
        <v>0.03</v>
      </c>
      <c r="H109" s="87">
        <f t="shared" si="12"/>
        <v>0</v>
      </c>
      <c r="I109" s="87"/>
      <c r="J109" s="88"/>
      <c r="K109" s="86"/>
      <c r="L109" s="87">
        <f t="shared" si="13"/>
        <v>0</v>
      </c>
      <c r="M109" s="87"/>
      <c r="N109" s="87">
        <f t="shared" si="14"/>
        <v>0</v>
      </c>
      <c r="O109" s="87">
        <v>0</v>
      </c>
      <c r="P109" s="87">
        <f t="shared" si="15"/>
        <v>0</v>
      </c>
      <c r="Q109" s="89">
        <v>7500</v>
      </c>
      <c r="R109" s="90">
        <f t="shared" si="16"/>
        <v>0</v>
      </c>
      <c r="S109" s="88" t="s">
        <v>172</v>
      </c>
      <c r="T109" s="65"/>
      <c r="U109" s="61"/>
      <c r="V109" s="61"/>
      <c r="W109" s="124">
        <f>P109+P152</f>
        <v>0</v>
      </c>
      <c r="X109" s="124"/>
    </row>
    <row r="110" spans="2:24" ht="15.75">
      <c r="B110" s="92"/>
      <c r="C110" s="93" t="s">
        <v>160</v>
      </c>
      <c r="D110" s="94"/>
      <c r="E110" s="95"/>
      <c r="F110" s="96"/>
      <c r="G110" s="96"/>
      <c r="H110" s="97"/>
      <c r="I110" s="97"/>
      <c r="J110" s="96"/>
      <c r="K110" s="96"/>
      <c r="L110" s="97"/>
      <c r="M110" s="97"/>
      <c r="N110" s="97"/>
      <c r="O110" s="97"/>
      <c r="P110" s="97"/>
      <c r="Q110" s="98" t="s">
        <v>161</v>
      </c>
      <c r="R110" s="99">
        <f>SUM(R104:R109)</f>
        <v>907044.1125599999</v>
      </c>
      <c r="S110" s="100"/>
      <c r="T110" s="65"/>
      <c r="U110" s="61"/>
      <c r="V110" s="61"/>
      <c r="W110" s="227">
        <f>R110+R155</f>
        <v>907044.1125599999</v>
      </c>
      <c r="X110" s="61" t="s">
        <v>222</v>
      </c>
    </row>
    <row r="112" ht="14.25">
      <c r="C112" s="103" t="s">
        <v>162</v>
      </c>
    </row>
    <row r="113" spans="4:16" ht="17.25">
      <c r="D113" s="324" t="s">
        <v>249</v>
      </c>
      <c r="N113" s="104" t="s">
        <v>173</v>
      </c>
      <c r="O113" s="104"/>
      <c r="P113" s="104"/>
    </row>
    <row r="114" spans="14:18" ht="14.25">
      <c r="N114" s="105"/>
      <c r="O114" s="105"/>
      <c r="P114" s="105"/>
      <c r="Q114" s="105"/>
      <c r="R114" s="105"/>
    </row>
    <row r="115" spans="14:18" ht="14.25">
      <c r="N115" s="375"/>
      <c r="O115" s="375"/>
      <c r="P115" s="375"/>
      <c r="Q115" s="375"/>
      <c r="R115" s="106"/>
    </row>
    <row r="116" spans="14:18" ht="14.25">
      <c r="N116" s="107"/>
      <c r="O116" s="107"/>
      <c r="P116" s="107"/>
      <c r="Q116" s="107"/>
      <c r="R116" s="107"/>
    </row>
  </sheetData>
  <mergeCells count="23">
    <mergeCell ref="T56:T60"/>
    <mergeCell ref="N31:Q31"/>
    <mergeCell ref="E11:E15"/>
    <mergeCell ref="C11:D15"/>
    <mergeCell ref="Q11:Q15"/>
    <mergeCell ref="R11:R15"/>
    <mergeCell ref="S11:S15"/>
    <mergeCell ref="R56:R60"/>
    <mergeCell ref="S56:S60"/>
    <mergeCell ref="T11:T15"/>
    <mergeCell ref="B11:B15"/>
    <mergeCell ref="N27:Q27"/>
    <mergeCell ref="R99:R103"/>
    <mergeCell ref="S99:S103"/>
    <mergeCell ref="B56:B60"/>
    <mergeCell ref="C56:D60"/>
    <mergeCell ref="E56:E60"/>
    <mergeCell ref="Q56:Q60"/>
    <mergeCell ref="N115:Q115"/>
    <mergeCell ref="B99:B103"/>
    <mergeCell ref="C99:D103"/>
    <mergeCell ref="E99:E103"/>
    <mergeCell ref="Q99:Q103"/>
  </mergeCells>
  <printOptions horizontalCentered="1"/>
  <pageMargins left="0.5" right="0.04" top="0.72" bottom="0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"/>
  <sheetViews>
    <sheetView zoomScale="85" zoomScaleNormal="85" workbookViewId="0" topLeftCell="A12">
      <selection activeCell="A36" sqref="A36"/>
    </sheetView>
  </sheetViews>
  <sheetFormatPr defaultColWidth="8.796875" defaultRowHeight="15"/>
  <cols>
    <col min="1" max="1" width="4.19921875" style="4" customWidth="1"/>
    <col min="2" max="2" width="34.09765625" style="4" customWidth="1"/>
    <col min="3" max="3" width="5.59765625" style="4" customWidth="1"/>
    <col min="4" max="5" width="6" style="4" customWidth="1"/>
    <col min="6" max="7" width="7.5" style="4" customWidth="1"/>
    <col min="8" max="8" width="7.3984375" style="4" customWidth="1"/>
    <col min="9" max="9" width="6" style="4" customWidth="1"/>
    <col min="10" max="13" width="8.3984375" style="4" customWidth="1"/>
    <col min="14" max="15" width="6.59765625" style="4" customWidth="1"/>
    <col min="16" max="16" width="7.09765625" style="4" customWidth="1"/>
    <col min="17" max="18" width="8" style="4" customWidth="1"/>
    <col min="19" max="19" width="11.5" style="4" customWidth="1"/>
    <col min="20" max="16384" width="8" style="4" customWidth="1"/>
  </cols>
  <sheetData>
    <row r="1" spans="1:19" ht="21.75" customHeight="1">
      <c r="A1" s="1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13.5" customHeight="1">
      <c r="A2" s="4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"/>
      <c r="R2" s="4"/>
      <c r="S2" s="8" t="s">
        <v>0</v>
      </c>
    </row>
    <row r="3" spans="1:19" s="5" customFormat="1" ht="13.5" customHeight="1">
      <c r="A3" s="9" t="s">
        <v>118</v>
      </c>
      <c r="B3" s="10"/>
      <c r="C3" s="9" t="s">
        <v>119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 t="s">
        <v>120</v>
      </c>
      <c r="P3" s="12"/>
      <c r="S3" s="13"/>
    </row>
    <row r="4" spans="1:19" s="5" customFormat="1" ht="13.5" customHeight="1">
      <c r="A4" s="9" t="s">
        <v>3</v>
      </c>
      <c r="B4" s="10"/>
      <c r="S4" s="13"/>
    </row>
    <row r="5" spans="1:19" s="5" customFormat="1" ht="13.5" customHeight="1">
      <c r="A5" s="9" t="s">
        <v>121</v>
      </c>
      <c r="B5" s="10"/>
      <c r="C5" s="14"/>
      <c r="D5" s="16" t="s">
        <v>122</v>
      </c>
      <c r="E5" s="16"/>
      <c r="F5" s="16"/>
      <c r="G5" s="16"/>
      <c r="H5" s="16"/>
      <c r="I5" s="16"/>
      <c r="J5" s="16"/>
      <c r="K5" s="16"/>
      <c r="L5" s="16"/>
      <c r="M5" s="16"/>
      <c r="N5" s="11"/>
      <c r="O5" s="15"/>
      <c r="P5" s="12"/>
      <c r="S5" s="13"/>
    </row>
    <row r="6" spans="1:19" s="5" customFormat="1" ht="13.5" customHeight="1">
      <c r="A6" s="16" t="s">
        <v>5</v>
      </c>
      <c r="B6" s="10"/>
      <c r="C6" s="14"/>
      <c r="O6" s="15"/>
      <c r="P6" s="12"/>
      <c r="S6" s="13"/>
    </row>
    <row r="7" spans="1:19" s="5" customFormat="1" ht="13.5" customHeight="1">
      <c r="A7" s="17" t="s">
        <v>198</v>
      </c>
      <c r="B7" s="10"/>
      <c r="C7" s="1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5"/>
      <c r="P7" s="12"/>
      <c r="S7" s="13"/>
    </row>
    <row r="8" spans="1:19" s="5" customFormat="1" ht="18" customHeight="1">
      <c r="A8" s="18" t="s">
        <v>123</v>
      </c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6</v>
      </c>
      <c r="P8" s="23">
        <v>6156</v>
      </c>
      <c r="Q8" s="24" t="s">
        <v>7</v>
      </c>
      <c r="R8" s="42"/>
      <c r="S8" s="18"/>
    </row>
    <row r="9" spans="1:19" s="5" customFormat="1" ht="18.75" customHeight="1">
      <c r="A9" s="369" t="s">
        <v>8</v>
      </c>
      <c r="B9" s="387" t="s">
        <v>9</v>
      </c>
      <c r="C9" s="372" t="s">
        <v>10</v>
      </c>
      <c r="D9" s="366" t="s">
        <v>11</v>
      </c>
      <c r="E9" s="43" t="s">
        <v>179</v>
      </c>
      <c r="F9" s="43" t="s">
        <v>180</v>
      </c>
      <c r="G9" s="43" t="s">
        <v>181</v>
      </c>
      <c r="H9" s="43" t="s">
        <v>227</v>
      </c>
      <c r="I9" s="43" t="s">
        <v>244</v>
      </c>
      <c r="J9" s="43" t="s">
        <v>246</v>
      </c>
      <c r="K9" s="43" t="s">
        <v>247</v>
      </c>
      <c r="L9" s="43"/>
      <c r="M9" s="43"/>
      <c r="N9" s="363" t="s">
        <v>12</v>
      </c>
      <c r="O9" s="364"/>
      <c r="P9" s="364"/>
      <c r="Q9" s="390" t="s">
        <v>124</v>
      </c>
      <c r="R9" s="359" t="s">
        <v>13</v>
      </c>
      <c r="S9" s="359" t="s">
        <v>14</v>
      </c>
    </row>
    <row r="10" spans="1:19" s="5" customFormat="1" ht="18.75" customHeight="1">
      <c r="A10" s="370"/>
      <c r="B10" s="388"/>
      <c r="C10" s="367"/>
      <c r="D10" s="367"/>
      <c r="E10" s="25">
        <v>600</v>
      </c>
      <c r="F10" s="25">
        <v>600</v>
      </c>
      <c r="G10" s="25">
        <v>3600</v>
      </c>
      <c r="H10" s="25">
        <f>18384+504+3912</f>
        <v>22800</v>
      </c>
      <c r="I10" s="25">
        <v>15766</v>
      </c>
      <c r="J10" s="25">
        <v>1800</v>
      </c>
      <c r="K10" s="25">
        <v>1408</v>
      </c>
      <c r="L10" s="25"/>
      <c r="M10" s="25"/>
      <c r="N10" s="348" t="s">
        <v>15</v>
      </c>
      <c r="O10" s="360" t="s">
        <v>125</v>
      </c>
      <c r="P10" s="390" t="s">
        <v>16</v>
      </c>
      <c r="Q10" s="391"/>
      <c r="R10" s="359"/>
      <c r="S10" s="359"/>
    </row>
    <row r="11" spans="1:19" s="5" customFormat="1" ht="18.75" customHeight="1" thickBot="1">
      <c r="A11" s="371"/>
      <c r="B11" s="389"/>
      <c r="C11" s="368"/>
      <c r="D11" s="368"/>
      <c r="E11" s="26" t="s">
        <v>163</v>
      </c>
      <c r="F11" s="26"/>
      <c r="G11" s="26"/>
      <c r="H11" s="26"/>
      <c r="I11" s="26"/>
      <c r="J11" s="26"/>
      <c r="K11" s="26"/>
      <c r="L11" s="26"/>
      <c r="M11" s="26"/>
      <c r="N11" s="349"/>
      <c r="O11" s="361"/>
      <c r="P11" s="392"/>
      <c r="Q11" s="392"/>
      <c r="R11" s="359"/>
      <c r="S11" s="359"/>
    </row>
    <row r="12" spans="1:20" s="5" customFormat="1" ht="12.75" customHeight="1">
      <c r="A12" s="27">
        <v>1</v>
      </c>
      <c r="B12" s="44" t="s">
        <v>17</v>
      </c>
      <c r="C12" s="45" t="s">
        <v>18</v>
      </c>
      <c r="D12" s="112" t="s">
        <v>164</v>
      </c>
      <c r="E12" s="30"/>
      <c r="F12" s="30"/>
      <c r="G12" s="30"/>
      <c r="H12" s="30"/>
      <c r="I12" s="30"/>
      <c r="J12" s="30"/>
      <c r="K12" s="30"/>
      <c r="L12" s="30"/>
      <c r="M12" s="30"/>
      <c r="N12" s="46"/>
      <c r="O12" s="47">
        <v>0</v>
      </c>
      <c r="P12" s="48">
        <f aca="true" t="shared" si="0" ref="P12:P54">+N12*1.03</f>
        <v>0</v>
      </c>
      <c r="Q12" s="30">
        <v>3</v>
      </c>
      <c r="R12" s="30" t="s">
        <v>126</v>
      </c>
      <c r="S12" s="111">
        <v>5515190000</v>
      </c>
      <c r="T12" s="5">
        <f>0.9144*0.0254*58*1.81</f>
        <v>2.4382402848</v>
      </c>
    </row>
    <row r="13" spans="1:19" s="5" customFormat="1" ht="12.75" customHeight="1">
      <c r="A13" s="27">
        <v>2</v>
      </c>
      <c r="B13" s="49" t="s">
        <v>20</v>
      </c>
      <c r="C13" s="50" t="s">
        <v>21</v>
      </c>
      <c r="D13" s="114" t="s">
        <v>164</v>
      </c>
      <c r="E13" s="27"/>
      <c r="F13" s="27"/>
      <c r="G13" s="27"/>
      <c r="H13" s="27"/>
      <c r="I13" s="27"/>
      <c r="J13" s="27"/>
      <c r="K13" s="27"/>
      <c r="L13" s="27"/>
      <c r="M13" s="27"/>
      <c r="N13" s="51"/>
      <c r="O13" s="36">
        <v>0.03</v>
      </c>
      <c r="P13" s="48">
        <f t="shared" si="0"/>
        <v>0</v>
      </c>
      <c r="Q13" s="27"/>
      <c r="R13" s="27"/>
      <c r="S13" s="113">
        <v>5515190000</v>
      </c>
    </row>
    <row r="14" spans="1:19" s="5" customFormat="1" ht="12.75" customHeight="1">
      <c r="A14" s="27">
        <v>3</v>
      </c>
      <c r="B14" s="49" t="s">
        <v>22</v>
      </c>
      <c r="C14" s="50" t="s">
        <v>23</v>
      </c>
      <c r="D14" s="114" t="s">
        <v>164</v>
      </c>
      <c r="E14" s="27">
        <v>1.432</v>
      </c>
      <c r="F14" s="27">
        <v>1.432</v>
      </c>
      <c r="G14" s="27">
        <v>1.326</v>
      </c>
      <c r="H14" s="27">
        <v>1.563</v>
      </c>
      <c r="I14" s="27">
        <v>1.584</v>
      </c>
      <c r="J14" s="27">
        <v>1.575</v>
      </c>
      <c r="K14" s="27">
        <v>1.95</v>
      </c>
      <c r="L14" s="27"/>
      <c r="M14" s="27"/>
      <c r="N14" s="51"/>
      <c r="O14" s="36">
        <v>0.03</v>
      </c>
      <c r="P14" s="48">
        <f t="shared" si="0"/>
        <v>0</v>
      </c>
      <c r="Q14" s="27"/>
      <c r="R14" s="27"/>
      <c r="S14" s="113">
        <v>5515190000</v>
      </c>
    </row>
    <row r="15" spans="1:19" s="5" customFormat="1" ht="12.75" customHeight="1">
      <c r="A15" s="27">
        <v>4</v>
      </c>
      <c r="B15" s="49" t="s">
        <v>24</v>
      </c>
      <c r="C15" s="50" t="s">
        <v>25</v>
      </c>
      <c r="D15" s="114" t="s">
        <v>164</v>
      </c>
      <c r="E15" s="27"/>
      <c r="F15" s="27"/>
      <c r="G15" s="27"/>
      <c r="H15" s="27"/>
      <c r="I15" s="27"/>
      <c r="J15" s="27"/>
      <c r="K15" s="27"/>
      <c r="L15" s="27"/>
      <c r="M15" s="27"/>
      <c r="N15" s="51"/>
      <c r="O15" s="36">
        <v>0.03</v>
      </c>
      <c r="P15" s="48">
        <f t="shared" si="0"/>
        <v>0</v>
      </c>
      <c r="Q15" s="27"/>
      <c r="R15" s="27"/>
      <c r="S15" s="113">
        <v>5515190000</v>
      </c>
    </row>
    <row r="16" spans="1:19" s="5" customFormat="1" ht="12.75" customHeight="1">
      <c r="A16" s="27">
        <v>5</v>
      </c>
      <c r="B16" s="49" t="s">
        <v>26</v>
      </c>
      <c r="C16" s="50" t="s">
        <v>27</v>
      </c>
      <c r="D16" s="114" t="s">
        <v>164</v>
      </c>
      <c r="E16" s="27"/>
      <c r="F16" s="27"/>
      <c r="G16" s="27"/>
      <c r="H16" s="27"/>
      <c r="I16" s="27"/>
      <c r="J16" s="27"/>
      <c r="K16" s="27"/>
      <c r="L16" s="27"/>
      <c r="M16" s="27"/>
      <c r="N16" s="51"/>
      <c r="O16" s="36">
        <v>0.03</v>
      </c>
      <c r="P16" s="48">
        <f t="shared" si="0"/>
        <v>0</v>
      </c>
      <c r="Q16" s="27"/>
      <c r="R16" s="27"/>
      <c r="S16" s="113">
        <v>5515190000</v>
      </c>
    </row>
    <row r="17" spans="1:19" s="5" customFormat="1" ht="12.75" customHeight="1">
      <c r="A17" s="27">
        <v>6</v>
      </c>
      <c r="B17" s="49" t="s">
        <v>28</v>
      </c>
      <c r="C17" s="50" t="s">
        <v>29</v>
      </c>
      <c r="D17" s="114" t="s">
        <v>164</v>
      </c>
      <c r="E17" s="27"/>
      <c r="F17" s="27"/>
      <c r="G17" s="27"/>
      <c r="H17" s="27"/>
      <c r="I17" s="27"/>
      <c r="J17" s="27"/>
      <c r="K17" s="27"/>
      <c r="L17" s="27"/>
      <c r="M17" s="27"/>
      <c r="N17" s="51"/>
      <c r="O17" s="36">
        <v>0.03</v>
      </c>
      <c r="P17" s="48">
        <f t="shared" si="0"/>
        <v>0</v>
      </c>
      <c r="Q17" s="27"/>
      <c r="R17" s="27"/>
      <c r="S17" s="113">
        <v>5515190000</v>
      </c>
    </row>
    <row r="18" spans="1:19" s="5" customFormat="1" ht="12.75" customHeight="1">
      <c r="A18" s="27">
        <v>7</v>
      </c>
      <c r="B18" s="49" t="s">
        <v>30</v>
      </c>
      <c r="C18" s="50" t="s">
        <v>31</v>
      </c>
      <c r="D18" s="114" t="s">
        <v>164</v>
      </c>
      <c r="E18" s="27"/>
      <c r="F18" s="27"/>
      <c r="G18" s="27"/>
      <c r="H18" s="27"/>
      <c r="I18" s="27"/>
      <c r="J18" s="27"/>
      <c r="K18" s="27"/>
      <c r="L18" s="27"/>
      <c r="M18" s="27"/>
      <c r="N18" s="51"/>
      <c r="O18" s="36">
        <v>0.03</v>
      </c>
      <c r="P18" s="48">
        <f t="shared" si="0"/>
        <v>0</v>
      </c>
      <c r="Q18" s="27"/>
      <c r="R18" s="27"/>
      <c r="S18" s="113">
        <v>5515190000</v>
      </c>
    </row>
    <row r="19" spans="1:19" s="5" customFormat="1" ht="12.75" customHeight="1">
      <c r="A19" s="27">
        <v>8</v>
      </c>
      <c r="B19" s="49" t="s">
        <v>32</v>
      </c>
      <c r="C19" s="50" t="s">
        <v>33</v>
      </c>
      <c r="D19" s="114" t="s">
        <v>164</v>
      </c>
      <c r="E19" s="27"/>
      <c r="F19" s="27"/>
      <c r="G19" s="27"/>
      <c r="H19" s="27"/>
      <c r="I19" s="27"/>
      <c r="J19" s="27"/>
      <c r="K19" s="27"/>
      <c r="L19" s="27"/>
      <c r="M19" s="27"/>
      <c r="N19" s="51"/>
      <c r="O19" s="36">
        <v>0.03</v>
      </c>
      <c r="P19" s="48">
        <f t="shared" si="0"/>
        <v>0</v>
      </c>
      <c r="Q19" s="27"/>
      <c r="R19" s="27"/>
      <c r="S19" s="113">
        <v>5515190000</v>
      </c>
    </row>
    <row r="20" spans="1:19" s="5" customFormat="1" ht="12.75" customHeight="1">
      <c r="A20" s="27">
        <v>9</v>
      </c>
      <c r="B20" s="49" t="s">
        <v>34</v>
      </c>
      <c r="C20" s="50" t="s">
        <v>35</v>
      </c>
      <c r="D20" s="114" t="s">
        <v>164</v>
      </c>
      <c r="E20" s="27"/>
      <c r="F20" s="27"/>
      <c r="G20" s="27"/>
      <c r="H20" s="27"/>
      <c r="I20" s="27"/>
      <c r="J20" s="27"/>
      <c r="K20" s="27"/>
      <c r="L20" s="27"/>
      <c r="M20" s="27"/>
      <c r="N20" s="51"/>
      <c r="O20" s="36">
        <v>0.03</v>
      </c>
      <c r="P20" s="48">
        <f t="shared" si="0"/>
        <v>0</v>
      </c>
      <c r="Q20" s="27"/>
      <c r="R20" s="27"/>
      <c r="S20" s="113">
        <v>5515190000</v>
      </c>
    </row>
    <row r="21" spans="1:19" s="5" customFormat="1" ht="12.75" customHeight="1">
      <c r="A21" s="27">
        <v>10</v>
      </c>
      <c r="B21" s="49" t="s">
        <v>36</v>
      </c>
      <c r="C21" s="50" t="s">
        <v>37</v>
      </c>
      <c r="D21" s="114" t="s">
        <v>164</v>
      </c>
      <c r="E21" s="27"/>
      <c r="F21" s="27"/>
      <c r="G21" s="27"/>
      <c r="H21" s="27"/>
      <c r="I21" s="27"/>
      <c r="J21" s="27"/>
      <c r="K21" s="27"/>
      <c r="L21" s="27"/>
      <c r="M21" s="27"/>
      <c r="N21" s="51"/>
      <c r="O21" s="36">
        <v>0.03</v>
      </c>
      <c r="P21" s="48">
        <f t="shared" si="0"/>
        <v>0</v>
      </c>
      <c r="Q21" s="27"/>
      <c r="R21" s="27"/>
      <c r="S21" s="113">
        <v>5515190000</v>
      </c>
    </row>
    <row r="22" spans="1:19" s="5" customFormat="1" ht="12.75" customHeight="1">
      <c r="A22" s="27">
        <v>11</v>
      </c>
      <c r="B22" s="49" t="s">
        <v>38</v>
      </c>
      <c r="C22" s="50" t="s">
        <v>39</v>
      </c>
      <c r="D22" s="114" t="s">
        <v>165</v>
      </c>
      <c r="E22" s="27"/>
      <c r="F22" s="27"/>
      <c r="G22" s="27"/>
      <c r="H22" s="27"/>
      <c r="I22" s="27"/>
      <c r="J22" s="27"/>
      <c r="K22" s="27"/>
      <c r="L22" s="27"/>
      <c r="M22" s="27"/>
      <c r="N22" s="51"/>
      <c r="O22" s="36">
        <v>0.03</v>
      </c>
      <c r="P22" s="48">
        <f t="shared" si="0"/>
        <v>0</v>
      </c>
      <c r="Q22" s="27"/>
      <c r="R22" s="27"/>
      <c r="S22" s="113">
        <v>5903909000</v>
      </c>
    </row>
    <row r="23" spans="1:19" s="5" customFormat="1" ht="12.75" customHeight="1">
      <c r="A23" s="27">
        <v>12</v>
      </c>
      <c r="B23" s="49" t="s">
        <v>40</v>
      </c>
      <c r="C23" s="50" t="s">
        <v>41</v>
      </c>
      <c r="D23" s="114" t="s">
        <v>166</v>
      </c>
      <c r="E23" s="27"/>
      <c r="F23" s="27"/>
      <c r="G23" s="27"/>
      <c r="H23" s="27"/>
      <c r="I23" s="27"/>
      <c r="J23" s="27"/>
      <c r="K23" s="27"/>
      <c r="L23" s="27"/>
      <c r="M23" s="27"/>
      <c r="N23" s="53"/>
      <c r="O23" s="36">
        <v>0.03</v>
      </c>
      <c r="P23" s="48">
        <f t="shared" si="0"/>
        <v>0</v>
      </c>
      <c r="Q23" s="27"/>
      <c r="R23" s="27"/>
      <c r="S23" s="113">
        <v>5808900000</v>
      </c>
    </row>
    <row r="24" spans="1:19" s="5" customFormat="1" ht="12.75" customHeight="1">
      <c r="A24" s="27">
        <v>13</v>
      </c>
      <c r="B24" s="49" t="s">
        <v>42</v>
      </c>
      <c r="C24" s="50" t="s">
        <v>43</v>
      </c>
      <c r="D24" s="115" t="s">
        <v>165</v>
      </c>
      <c r="E24" s="27"/>
      <c r="F24" s="27"/>
      <c r="G24" s="27"/>
      <c r="H24" s="27"/>
      <c r="I24" s="27"/>
      <c r="J24" s="27"/>
      <c r="K24" s="27"/>
      <c r="L24" s="27"/>
      <c r="M24" s="27"/>
      <c r="N24" s="53"/>
      <c r="O24" s="36">
        <v>0.03</v>
      </c>
      <c r="P24" s="48">
        <f t="shared" si="0"/>
        <v>0</v>
      </c>
      <c r="Q24" s="27"/>
      <c r="R24" s="27"/>
      <c r="S24" s="113">
        <v>5808900000</v>
      </c>
    </row>
    <row r="25" spans="1:19" s="5" customFormat="1" ht="12.75" customHeight="1">
      <c r="A25" s="27">
        <v>14</v>
      </c>
      <c r="B25" s="49" t="s">
        <v>44</v>
      </c>
      <c r="C25" s="50" t="s">
        <v>45</v>
      </c>
      <c r="D25" s="114" t="s">
        <v>166</v>
      </c>
      <c r="E25" s="27"/>
      <c r="F25" s="27"/>
      <c r="G25" s="27"/>
      <c r="H25" s="27"/>
      <c r="I25" s="27"/>
      <c r="J25" s="27"/>
      <c r="K25" s="27"/>
      <c r="L25" s="27"/>
      <c r="M25" s="27"/>
      <c r="N25" s="53"/>
      <c r="O25" s="36">
        <v>0.03</v>
      </c>
      <c r="P25" s="48">
        <f t="shared" si="0"/>
        <v>0</v>
      </c>
      <c r="Q25" s="27"/>
      <c r="R25" s="27"/>
      <c r="S25" s="113">
        <v>5602100000</v>
      </c>
    </row>
    <row r="26" spans="1:19" s="5" customFormat="1" ht="12.75" customHeight="1">
      <c r="A26" s="27">
        <v>15</v>
      </c>
      <c r="B26" s="49" t="s">
        <v>46</v>
      </c>
      <c r="C26" s="50" t="s">
        <v>47</v>
      </c>
      <c r="D26" s="114" t="s">
        <v>167</v>
      </c>
      <c r="E26" s="27"/>
      <c r="F26" s="27"/>
      <c r="G26" s="27"/>
      <c r="H26" s="27"/>
      <c r="I26" s="27"/>
      <c r="J26" s="27"/>
      <c r="K26" s="27"/>
      <c r="L26" s="27"/>
      <c r="M26" s="27"/>
      <c r="N26" s="53"/>
      <c r="O26" s="36">
        <v>0.03</v>
      </c>
      <c r="P26" s="48">
        <f t="shared" si="0"/>
        <v>0</v>
      </c>
      <c r="Q26" s="27"/>
      <c r="R26" s="27"/>
      <c r="S26" s="113">
        <v>6217900000</v>
      </c>
    </row>
    <row r="27" spans="1:22" s="5" customFormat="1" ht="12.75" customHeight="1">
      <c r="A27" s="27">
        <v>16</v>
      </c>
      <c r="B27" s="49" t="s">
        <v>48</v>
      </c>
      <c r="C27" s="50" t="s">
        <v>49</v>
      </c>
      <c r="D27" s="115" t="s">
        <v>165</v>
      </c>
      <c r="E27" s="27">
        <v>344.875</v>
      </c>
      <c r="F27" s="27">
        <v>344.975</v>
      </c>
      <c r="G27" s="27">
        <v>246.533</v>
      </c>
      <c r="H27" s="266">
        <v>334.098</v>
      </c>
      <c r="I27" s="27">
        <v>291.362</v>
      </c>
      <c r="J27" s="27">
        <v>291.054</v>
      </c>
      <c r="K27" s="27">
        <v>200.194</v>
      </c>
      <c r="L27" s="27"/>
      <c r="M27" s="27"/>
      <c r="N27" s="53"/>
      <c r="O27" s="36">
        <v>0.03</v>
      </c>
      <c r="P27" s="48">
        <f t="shared" si="0"/>
        <v>0</v>
      </c>
      <c r="Q27" s="27"/>
      <c r="R27" s="27"/>
      <c r="S27" s="113">
        <v>5401200000</v>
      </c>
      <c r="T27" s="5">
        <f>54+53.14+112+3+5.83</f>
        <v>227.97</v>
      </c>
      <c r="U27" s="5">
        <f>T27/I10</f>
        <v>0.014459596600279082</v>
      </c>
      <c r="V27" s="5">
        <f>U27*5000</f>
        <v>72.29798300139541</v>
      </c>
    </row>
    <row r="28" spans="1:19" s="5" customFormat="1" ht="12.75" customHeight="1">
      <c r="A28" s="27">
        <v>17</v>
      </c>
      <c r="B28" s="49" t="s">
        <v>50</v>
      </c>
      <c r="C28" s="50" t="s">
        <v>51</v>
      </c>
      <c r="D28" s="114" t="s">
        <v>167</v>
      </c>
      <c r="E28" s="54">
        <v>1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54">
        <v>1</v>
      </c>
      <c r="L28" s="27"/>
      <c r="M28" s="27"/>
      <c r="N28" s="53"/>
      <c r="O28" s="36">
        <v>0.03</v>
      </c>
      <c r="P28" s="48">
        <f t="shared" si="0"/>
        <v>0</v>
      </c>
      <c r="Q28" s="27"/>
      <c r="R28" s="27"/>
      <c r="S28" s="113">
        <v>9607190000</v>
      </c>
    </row>
    <row r="29" spans="1:19" s="5" customFormat="1" ht="12.75" customHeight="1">
      <c r="A29" s="27">
        <v>18</v>
      </c>
      <c r="B29" s="49" t="s">
        <v>52</v>
      </c>
      <c r="C29" s="50" t="s">
        <v>53</v>
      </c>
      <c r="D29" s="114" t="s">
        <v>167</v>
      </c>
      <c r="E29" s="27"/>
      <c r="F29" s="27"/>
      <c r="G29" s="27"/>
      <c r="H29" s="27"/>
      <c r="I29" s="27"/>
      <c r="J29" s="27"/>
      <c r="K29" s="27"/>
      <c r="L29" s="27"/>
      <c r="M29" s="27"/>
      <c r="N29" s="53"/>
      <c r="O29" s="36">
        <v>0.03</v>
      </c>
      <c r="P29" s="48">
        <f t="shared" si="0"/>
        <v>0</v>
      </c>
      <c r="Q29" s="27"/>
      <c r="R29" s="27"/>
      <c r="S29" s="113">
        <v>8308902000</v>
      </c>
    </row>
    <row r="30" spans="1:19" s="5" customFormat="1" ht="12.75" customHeight="1">
      <c r="A30" s="27">
        <v>19</v>
      </c>
      <c r="B30" s="49" t="s">
        <v>55</v>
      </c>
      <c r="C30" s="50" t="s">
        <v>56</v>
      </c>
      <c r="D30" s="114" t="s">
        <v>167</v>
      </c>
      <c r="E30" s="33"/>
      <c r="F30" s="33"/>
      <c r="G30" s="33"/>
      <c r="H30" s="33"/>
      <c r="I30" s="33"/>
      <c r="J30" s="33"/>
      <c r="K30" s="33"/>
      <c r="L30" s="33"/>
      <c r="M30" s="33"/>
      <c r="N30" s="53"/>
      <c r="O30" s="36">
        <v>0.03</v>
      </c>
      <c r="P30" s="48">
        <f t="shared" si="0"/>
        <v>0</v>
      </c>
      <c r="Q30" s="27"/>
      <c r="R30" s="27"/>
      <c r="S30" s="113">
        <v>3926209000</v>
      </c>
    </row>
    <row r="31" spans="1:19" s="5" customFormat="1" ht="12.75" customHeight="1">
      <c r="A31" s="27">
        <v>20</v>
      </c>
      <c r="B31" s="49" t="s">
        <v>57</v>
      </c>
      <c r="C31" s="50" t="s">
        <v>58</v>
      </c>
      <c r="D31" s="114" t="s">
        <v>167</v>
      </c>
      <c r="E31" s="27"/>
      <c r="F31" s="27"/>
      <c r="G31" s="27"/>
      <c r="H31" s="27"/>
      <c r="I31" s="27"/>
      <c r="J31" s="27"/>
      <c r="K31" s="27"/>
      <c r="L31" s="27"/>
      <c r="M31" s="27"/>
      <c r="N31" s="53"/>
      <c r="O31" s="36">
        <v>0.03</v>
      </c>
      <c r="P31" s="48">
        <f t="shared" si="0"/>
        <v>0</v>
      </c>
      <c r="Q31" s="27"/>
      <c r="R31" s="27"/>
      <c r="S31" s="113">
        <v>9607200000</v>
      </c>
    </row>
    <row r="32" spans="1:19" s="5" customFormat="1" ht="12.75" customHeight="1">
      <c r="A32" s="27">
        <v>21</v>
      </c>
      <c r="B32" s="49" t="s">
        <v>59</v>
      </c>
      <c r="C32" s="50" t="s">
        <v>60</v>
      </c>
      <c r="D32" s="114" t="s">
        <v>167</v>
      </c>
      <c r="E32" s="27"/>
      <c r="F32" s="27"/>
      <c r="G32" s="27"/>
      <c r="H32" s="27"/>
      <c r="I32" s="27"/>
      <c r="J32" s="27"/>
      <c r="K32" s="27"/>
      <c r="L32" s="27"/>
      <c r="M32" s="27"/>
      <c r="N32" s="53"/>
      <c r="O32" s="36">
        <v>0.03</v>
      </c>
      <c r="P32" s="48">
        <f t="shared" si="0"/>
        <v>0</v>
      </c>
      <c r="Q32" s="27"/>
      <c r="R32" s="27"/>
      <c r="S32" s="113">
        <v>5607490000</v>
      </c>
    </row>
    <row r="33" spans="1:19" s="5" customFormat="1" ht="12.75" customHeight="1">
      <c r="A33" s="27">
        <v>22</v>
      </c>
      <c r="B33" s="49" t="s">
        <v>61</v>
      </c>
      <c r="C33" s="50" t="s">
        <v>62</v>
      </c>
      <c r="D33" s="114" t="s">
        <v>166</v>
      </c>
      <c r="E33" s="27"/>
      <c r="F33" s="27"/>
      <c r="G33" s="27"/>
      <c r="H33" s="27"/>
      <c r="I33" s="27"/>
      <c r="J33" s="27"/>
      <c r="K33" s="27"/>
      <c r="L33" s="27"/>
      <c r="M33" s="27"/>
      <c r="N33" s="53"/>
      <c r="O33" s="36">
        <v>0.03</v>
      </c>
      <c r="P33" s="48">
        <f t="shared" si="0"/>
        <v>0</v>
      </c>
      <c r="Q33" s="27"/>
      <c r="R33" s="27"/>
      <c r="S33" s="113">
        <v>5607490000</v>
      </c>
    </row>
    <row r="34" spans="1:19" s="5" customFormat="1" ht="12.75" customHeight="1">
      <c r="A34" s="27">
        <v>23</v>
      </c>
      <c r="B34" s="49" t="s">
        <v>63</v>
      </c>
      <c r="C34" s="50" t="s">
        <v>64</v>
      </c>
      <c r="D34" s="114" t="s">
        <v>166</v>
      </c>
      <c r="E34" s="27"/>
      <c r="F34" s="27"/>
      <c r="G34" s="27"/>
      <c r="H34" s="27"/>
      <c r="I34" s="27"/>
      <c r="J34" s="27"/>
      <c r="K34" s="27"/>
      <c r="L34" s="27"/>
      <c r="M34" s="27"/>
      <c r="N34" s="53"/>
      <c r="O34" s="36">
        <v>0.03</v>
      </c>
      <c r="P34" s="48">
        <f t="shared" si="0"/>
        <v>0</v>
      </c>
      <c r="Q34" s="27"/>
      <c r="R34" s="27"/>
      <c r="S34" s="113">
        <v>5808109000</v>
      </c>
    </row>
    <row r="35" spans="1:19" s="5" customFormat="1" ht="12.75" customHeight="1">
      <c r="A35" s="27">
        <v>24</v>
      </c>
      <c r="B35" s="49" t="s">
        <v>65</v>
      </c>
      <c r="C35" s="50" t="s">
        <v>66</v>
      </c>
      <c r="D35" s="114" t="s">
        <v>167</v>
      </c>
      <c r="E35" s="27">
        <v>2</v>
      </c>
      <c r="F35" s="27">
        <v>2</v>
      </c>
      <c r="G35" s="27">
        <v>2</v>
      </c>
      <c r="H35" s="27">
        <v>10</v>
      </c>
      <c r="I35" s="27">
        <v>5</v>
      </c>
      <c r="J35" s="27">
        <v>3</v>
      </c>
      <c r="K35" s="27">
        <v>2</v>
      </c>
      <c r="L35" s="27"/>
      <c r="M35" s="27"/>
      <c r="N35" s="53"/>
      <c r="O35" s="36">
        <v>0.03</v>
      </c>
      <c r="P35" s="48">
        <f t="shared" si="0"/>
        <v>0</v>
      </c>
      <c r="Q35" s="27"/>
      <c r="R35" s="27"/>
      <c r="S35" s="113">
        <v>9606290000</v>
      </c>
    </row>
    <row r="36" spans="1:19" s="5" customFormat="1" ht="12.75" customHeight="1">
      <c r="A36" s="27">
        <v>25</v>
      </c>
      <c r="B36" s="49" t="s">
        <v>67</v>
      </c>
      <c r="C36" s="50" t="s">
        <v>68</v>
      </c>
      <c r="D36" s="114" t="s">
        <v>168</v>
      </c>
      <c r="E36" s="27"/>
      <c r="F36" s="27"/>
      <c r="G36" s="27"/>
      <c r="H36" s="27"/>
      <c r="I36" s="27"/>
      <c r="J36" s="27">
        <v>2</v>
      </c>
      <c r="K36" s="27"/>
      <c r="L36" s="27"/>
      <c r="M36" s="27"/>
      <c r="N36" s="53"/>
      <c r="O36" s="36">
        <v>0.03</v>
      </c>
      <c r="P36" s="48">
        <f t="shared" si="0"/>
        <v>0</v>
      </c>
      <c r="Q36" s="27"/>
      <c r="R36" s="27"/>
      <c r="S36" s="113">
        <v>9606290000</v>
      </c>
    </row>
    <row r="37" spans="1:19" s="5" customFormat="1" ht="12.75" customHeight="1">
      <c r="A37" s="27">
        <v>26</v>
      </c>
      <c r="B37" s="49" t="s">
        <v>69</v>
      </c>
      <c r="C37" s="50" t="s">
        <v>70</v>
      </c>
      <c r="D37" s="114" t="s">
        <v>168</v>
      </c>
      <c r="E37" s="27"/>
      <c r="F37" s="27"/>
      <c r="G37" s="27"/>
      <c r="H37" s="27"/>
      <c r="I37" s="27"/>
      <c r="J37" s="27"/>
      <c r="K37" s="27"/>
      <c r="L37" s="27"/>
      <c r="M37" s="27"/>
      <c r="N37" s="53"/>
      <c r="O37" s="36">
        <v>0.03</v>
      </c>
      <c r="P37" s="48">
        <f t="shared" si="0"/>
        <v>0</v>
      </c>
      <c r="Q37" s="27"/>
      <c r="R37" s="27"/>
      <c r="S37" s="113">
        <v>9606290000</v>
      </c>
    </row>
    <row r="38" spans="1:19" s="5" customFormat="1" ht="12.75" customHeight="1">
      <c r="A38" s="27">
        <v>27</v>
      </c>
      <c r="B38" s="49" t="s">
        <v>71</v>
      </c>
      <c r="C38" s="50" t="s">
        <v>72</v>
      </c>
      <c r="D38" s="114" t="s">
        <v>167</v>
      </c>
      <c r="E38" s="27"/>
      <c r="F38" s="27"/>
      <c r="G38" s="27"/>
      <c r="H38" s="27"/>
      <c r="I38" s="27"/>
      <c r="J38" s="27"/>
      <c r="K38" s="27"/>
      <c r="L38" s="27"/>
      <c r="M38" s="27"/>
      <c r="N38" s="53"/>
      <c r="O38" s="36">
        <v>0.03</v>
      </c>
      <c r="P38" s="48">
        <f t="shared" si="0"/>
        <v>0</v>
      </c>
      <c r="Q38" s="27"/>
      <c r="R38" s="27"/>
      <c r="S38" s="113">
        <v>9606290000</v>
      </c>
    </row>
    <row r="39" spans="1:19" s="5" customFormat="1" ht="12.75" customHeight="1">
      <c r="A39" s="27">
        <v>28</v>
      </c>
      <c r="B39" s="49" t="s">
        <v>73</v>
      </c>
      <c r="C39" s="50" t="s">
        <v>74</v>
      </c>
      <c r="D39" s="114" t="s">
        <v>167</v>
      </c>
      <c r="E39" s="27"/>
      <c r="F39" s="27"/>
      <c r="G39" s="27"/>
      <c r="H39" s="27">
        <v>1</v>
      </c>
      <c r="I39" s="27">
        <v>1</v>
      </c>
      <c r="J39" s="27">
        <v>1</v>
      </c>
      <c r="K39" s="27"/>
      <c r="L39" s="27"/>
      <c r="M39" s="27"/>
      <c r="N39" s="53"/>
      <c r="O39" s="36">
        <v>0.03</v>
      </c>
      <c r="P39" s="48">
        <f t="shared" si="0"/>
        <v>0</v>
      </c>
      <c r="Q39" s="27"/>
      <c r="R39" s="27"/>
      <c r="S39" s="113">
        <v>5807100000</v>
      </c>
    </row>
    <row r="40" spans="1:19" s="5" customFormat="1" ht="12.75" customHeight="1">
      <c r="A40" s="27">
        <v>29</v>
      </c>
      <c r="B40" s="49" t="s">
        <v>75</v>
      </c>
      <c r="C40" s="50" t="s">
        <v>76</v>
      </c>
      <c r="D40" s="114" t="s">
        <v>167</v>
      </c>
      <c r="E40" s="27">
        <v>1</v>
      </c>
      <c r="F40" s="27">
        <v>1</v>
      </c>
      <c r="G40" s="27">
        <v>1</v>
      </c>
      <c r="H40" s="27">
        <v>1</v>
      </c>
      <c r="I40" s="27">
        <v>1</v>
      </c>
      <c r="J40" s="27">
        <v>2</v>
      </c>
      <c r="K40" s="27">
        <v>3</v>
      </c>
      <c r="L40" s="27"/>
      <c r="M40" s="27"/>
      <c r="N40" s="53"/>
      <c r="O40" s="36">
        <v>0.03</v>
      </c>
      <c r="P40" s="48">
        <f t="shared" si="0"/>
        <v>0</v>
      </c>
      <c r="Q40" s="27"/>
      <c r="R40" s="27"/>
      <c r="S40" s="113">
        <v>5807100000</v>
      </c>
    </row>
    <row r="41" spans="1:19" s="5" customFormat="1" ht="12.75" customHeight="1">
      <c r="A41" s="27">
        <v>30</v>
      </c>
      <c r="B41" s="49" t="s">
        <v>77</v>
      </c>
      <c r="C41" s="50" t="s">
        <v>78</v>
      </c>
      <c r="D41" s="114" t="s">
        <v>167</v>
      </c>
      <c r="E41" s="27">
        <v>2</v>
      </c>
      <c r="F41" s="27">
        <v>2</v>
      </c>
      <c r="G41" s="27">
        <v>2</v>
      </c>
      <c r="H41" s="27">
        <v>4</v>
      </c>
      <c r="I41" s="27">
        <v>2</v>
      </c>
      <c r="J41" s="27">
        <v>1</v>
      </c>
      <c r="K41" s="27">
        <v>1</v>
      </c>
      <c r="L41" s="27"/>
      <c r="M41" s="27"/>
      <c r="N41" s="53"/>
      <c r="O41" s="36">
        <v>0.03</v>
      </c>
      <c r="P41" s="48">
        <f t="shared" si="0"/>
        <v>0</v>
      </c>
      <c r="Q41" s="27"/>
      <c r="R41" s="27"/>
      <c r="S41" s="113">
        <v>4821109000</v>
      </c>
    </row>
    <row r="42" spans="1:19" s="5" customFormat="1" ht="12.75" customHeight="1">
      <c r="A42" s="27">
        <v>31</v>
      </c>
      <c r="B42" s="49" t="s">
        <v>79</v>
      </c>
      <c r="C42" s="50" t="s">
        <v>80</v>
      </c>
      <c r="D42" s="114" t="s">
        <v>167</v>
      </c>
      <c r="E42" s="27"/>
      <c r="F42" s="27"/>
      <c r="G42" s="27"/>
      <c r="H42" s="27"/>
      <c r="I42" s="27"/>
      <c r="J42" s="27"/>
      <c r="K42" s="27"/>
      <c r="L42" s="27"/>
      <c r="M42" s="27"/>
      <c r="N42" s="53"/>
      <c r="O42" s="36">
        <v>0.03</v>
      </c>
      <c r="P42" s="48">
        <f t="shared" si="0"/>
        <v>0</v>
      </c>
      <c r="Q42" s="27"/>
      <c r="R42" s="27"/>
      <c r="S42" s="113">
        <v>9606290000</v>
      </c>
    </row>
    <row r="43" spans="1:19" s="5" customFormat="1" ht="12.75" customHeight="1">
      <c r="A43" s="27">
        <v>32</v>
      </c>
      <c r="B43" s="49" t="s">
        <v>81</v>
      </c>
      <c r="C43" s="50" t="s">
        <v>82</v>
      </c>
      <c r="D43" s="114" t="s">
        <v>168</v>
      </c>
      <c r="E43" s="27"/>
      <c r="F43" s="27"/>
      <c r="G43" s="27"/>
      <c r="H43" s="27"/>
      <c r="I43" s="27"/>
      <c r="J43" s="27"/>
      <c r="K43" s="27"/>
      <c r="L43" s="27"/>
      <c r="M43" s="27"/>
      <c r="N43" s="53"/>
      <c r="O43" s="36">
        <v>0</v>
      </c>
      <c r="P43" s="48">
        <f t="shared" si="0"/>
        <v>0</v>
      </c>
      <c r="Q43" s="27"/>
      <c r="R43" s="27"/>
      <c r="S43" s="113">
        <v>9606290000</v>
      </c>
    </row>
    <row r="44" spans="1:19" s="5" customFormat="1" ht="12.75" customHeight="1">
      <c r="A44" s="27">
        <v>33</v>
      </c>
      <c r="B44" s="49" t="s">
        <v>83</v>
      </c>
      <c r="C44" s="50" t="s">
        <v>84</v>
      </c>
      <c r="D44" s="115" t="s">
        <v>166</v>
      </c>
      <c r="E44" s="27"/>
      <c r="F44" s="27"/>
      <c r="G44" s="27"/>
      <c r="H44" s="27"/>
      <c r="I44" s="27"/>
      <c r="J44" s="27"/>
      <c r="K44" s="27"/>
      <c r="L44" s="27"/>
      <c r="M44" s="27"/>
      <c r="N44" s="53"/>
      <c r="O44" s="36">
        <v>0.03</v>
      </c>
      <c r="P44" s="48">
        <f t="shared" si="0"/>
        <v>0</v>
      </c>
      <c r="Q44" s="27"/>
      <c r="R44" s="27"/>
      <c r="S44" s="113">
        <v>3919909000</v>
      </c>
    </row>
    <row r="45" spans="1:19" s="5" customFormat="1" ht="12.75" customHeight="1">
      <c r="A45" s="27">
        <v>34</v>
      </c>
      <c r="B45" s="49" t="s">
        <v>85</v>
      </c>
      <c r="C45" s="50" t="s">
        <v>86</v>
      </c>
      <c r="D45" s="114" t="s">
        <v>169</v>
      </c>
      <c r="E45" s="27"/>
      <c r="F45" s="27"/>
      <c r="G45" s="27"/>
      <c r="H45" s="27"/>
      <c r="I45" s="27"/>
      <c r="J45" s="27"/>
      <c r="K45" s="27"/>
      <c r="L45" s="27"/>
      <c r="M45" s="27"/>
      <c r="N45" s="53"/>
      <c r="O45" s="36">
        <v>0.03</v>
      </c>
      <c r="P45" s="48">
        <f t="shared" si="0"/>
        <v>0</v>
      </c>
      <c r="Q45" s="27"/>
      <c r="R45" s="27"/>
      <c r="S45" s="113">
        <v>4823409000</v>
      </c>
    </row>
    <row r="46" spans="1:19" s="5" customFormat="1" ht="12.75" customHeight="1">
      <c r="A46" s="27">
        <v>35</v>
      </c>
      <c r="B46" s="49" t="s">
        <v>87</v>
      </c>
      <c r="C46" s="50" t="s">
        <v>88</v>
      </c>
      <c r="D46" s="114" t="s">
        <v>167</v>
      </c>
      <c r="E46" s="33">
        <v>1</v>
      </c>
      <c r="F46" s="33">
        <v>1</v>
      </c>
      <c r="G46" s="33">
        <v>1</v>
      </c>
      <c r="H46" s="33">
        <v>1</v>
      </c>
      <c r="I46" s="33">
        <v>1</v>
      </c>
      <c r="J46" s="33">
        <v>1</v>
      </c>
      <c r="K46" s="33">
        <v>1</v>
      </c>
      <c r="L46" s="33"/>
      <c r="M46" s="33"/>
      <c r="N46" s="53"/>
      <c r="O46" s="36">
        <v>0.03</v>
      </c>
      <c r="P46" s="48">
        <f t="shared" si="0"/>
        <v>0</v>
      </c>
      <c r="Q46" s="27"/>
      <c r="R46" s="27"/>
      <c r="S46" s="113">
        <v>3923290000</v>
      </c>
    </row>
    <row r="47" spans="1:19" s="5" customFormat="1" ht="12.75" customHeight="1">
      <c r="A47" s="27">
        <v>36</v>
      </c>
      <c r="B47" s="49" t="s">
        <v>89</v>
      </c>
      <c r="C47" s="50" t="s">
        <v>90</v>
      </c>
      <c r="D47" s="114" t="s">
        <v>167</v>
      </c>
      <c r="E47" s="27">
        <v>1</v>
      </c>
      <c r="F47" s="27">
        <v>1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/>
      <c r="M47" s="27"/>
      <c r="N47" s="53"/>
      <c r="O47" s="36">
        <v>0.03</v>
      </c>
      <c r="P47" s="48">
        <f t="shared" si="0"/>
        <v>0</v>
      </c>
      <c r="Q47" s="27"/>
      <c r="R47" s="27"/>
      <c r="S47" s="113">
        <v>3926209000</v>
      </c>
    </row>
    <row r="48" spans="1:19" s="5" customFormat="1" ht="12.75" customHeight="1">
      <c r="A48" s="27">
        <v>37</v>
      </c>
      <c r="B48" s="49" t="s">
        <v>91</v>
      </c>
      <c r="C48" s="50" t="s">
        <v>92</v>
      </c>
      <c r="D48" s="114" t="s">
        <v>167</v>
      </c>
      <c r="E48" s="27"/>
      <c r="F48" s="27"/>
      <c r="G48" s="27"/>
      <c r="H48" s="27"/>
      <c r="I48" s="27"/>
      <c r="J48" s="27"/>
      <c r="K48" s="27"/>
      <c r="L48" s="27"/>
      <c r="M48" s="27"/>
      <c r="N48" s="53"/>
      <c r="O48" s="36">
        <v>0.03</v>
      </c>
      <c r="P48" s="48">
        <f t="shared" si="0"/>
        <v>0</v>
      </c>
      <c r="Q48" s="27"/>
      <c r="R48" s="27"/>
      <c r="S48" s="113">
        <v>9606290000</v>
      </c>
    </row>
    <row r="49" spans="1:19" s="5" customFormat="1" ht="12.75" customHeight="1">
      <c r="A49" s="27">
        <v>38</v>
      </c>
      <c r="B49" s="49" t="s">
        <v>93</v>
      </c>
      <c r="C49" s="50" t="s">
        <v>94</v>
      </c>
      <c r="D49" s="114" t="s">
        <v>167</v>
      </c>
      <c r="E49" s="27"/>
      <c r="F49" s="27"/>
      <c r="G49" s="27"/>
      <c r="H49" s="27"/>
      <c r="I49" s="27"/>
      <c r="J49" s="27"/>
      <c r="K49" s="27"/>
      <c r="L49" s="27"/>
      <c r="M49" s="27"/>
      <c r="N49" s="53"/>
      <c r="O49" s="36">
        <v>0.03</v>
      </c>
      <c r="P49" s="48">
        <f t="shared" si="0"/>
        <v>0</v>
      </c>
      <c r="Q49" s="27"/>
      <c r="R49" s="27"/>
      <c r="S49" s="113">
        <v>3926209000</v>
      </c>
    </row>
    <row r="50" spans="1:19" s="5" customFormat="1" ht="12.75" customHeight="1">
      <c r="A50" s="27">
        <v>39</v>
      </c>
      <c r="B50" s="49" t="s">
        <v>95</v>
      </c>
      <c r="C50" s="50" t="s">
        <v>96</v>
      </c>
      <c r="D50" s="114" t="s">
        <v>167</v>
      </c>
      <c r="E50" s="27"/>
      <c r="F50" s="27">
        <v>1</v>
      </c>
      <c r="G50" s="27"/>
      <c r="H50" s="27">
        <v>1</v>
      </c>
      <c r="I50" s="27">
        <v>1</v>
      </c>
      <c r="J50" s="27">
        <v>1</v>
      </c>
      <c r="K50" s="27"/>
      <c r="L50" s="27"/>
      <c r="M50" s="27"/>
      <c r="N50" s="53"/>
      <c r="O50" s="36">
        <v>0.03</v>
      </c>
      <c r="P50" s="48">
        <f t="shared" si="0"/>
        <v>0</v>
      </c>
      <c r="Q50" s="27"/>
      <c r="R50" s="27"/>
      <c r="S50" s="113">
        <v>3926209000</v>
      </c>
    </row>
    <row r="51" spans="1:19" s="5" customFormat="1" ht="12.75" customHeight="1">
      <c r="A51" s="27">
        <v>40</v>
      </c>
      <c r="B51" s="49" t="s">
        <v>97</v>
      </c>
      <c r="C51" s="50" t="s">
        <v>98</v>
      </c>
      <c r="D51" s="114" t="s">
        <v>167</v>
      </c>
      <c r="E51" s="27"/>
      <c r="F51" s="27"/>
      <c r="G51" s="27"/>
      <c r="H51" s="27"/>
      <c r="I51" s="27"/>
      <c r="J51" s="27"/>
      <c r="K51" s="27"/>
      <c r="L51" s="27"/>
      <c r="M51" s="27"/>
      <c r="N51" s="53"/>
      <c r="O51" s="36">
        <v>0.03</v>
      </c>
      <c r="P51" s="48">
        <f t="shared" si="0"/>
        <v>0</v>
      </c>
      <c r="Q51" s="27"/>
      <c r="R51" s="27"/>
      <c r="S51" s="113">
        <v>3824909000</v>
      </c>
    </row>
    <row r="52" spans="1:19" s="5" customFormat="1" ht="12.75" customHeight="1">
      <c r="A52" s="27">
        <v>41</v>
      </c>
      <c r="B52" s="49" t="s">
        <v>99</v>
      </c>
      <c r="C52" s="50" t="s">
        <v>100</v>
      </c>
      <c r="D52" s="114" t="s">
        <v>167</v>
      </c>
      <c r="E52" s="27">
        <f>1/8</f>
        <v>0.125</v>
      </c>
      <c r="F52" s="27">
        <v>0.125</v>
      </c>
      <c r="G52" s="27">
        <v>0.084</v>
      </c>
      <c r="H52" s="27">
        <v>0.084</v>
      </c>
      <c r="I52" s="27">
        <v>0.084</v>
      </c>
      <c r="J52" s="27">
        <v>0.084</v>
      </c>
      <c r="K52" s="27">
        <f>1/8</f>
        <v>0.125</v>
      </c>
      <c r="L52" s="27"/>
      <c r="M52" s="27"/>
      <c r="N52" s="53"/>
      <c r="O52" s="36">
        <v>0.03</v>
      </c>
      <c r="P52" s="48">
        <f t="shared" si="0"/>
        <v>0</v>
      </c>
      <c r="Q52" s="27"/>
      <c r="R52" s="27"/>
      <c r="S52" s="113">
        <v>4819100000</v>
      </c>
    </row>
    <row r="53" spans="1:19" s="5" customFormat="1" ht="12.75" customHeight="1">
      <c r="A53" s="27">
        <v>42</v>
      </c>
      <c r="B53" s="49" t="s">
        <v>101</v>
      </c>
      <c r="C53" s="50" t="s">
        <v>102</v>
      </c>
      <c r="D53" s="114" t="s">
        <v>167</v>
      </c>
      <c r="E53" s="27"/>
      <c r="F53" s="27"/>
      <c r="G53" s="27"/>
      <c r="H53" s="27">
        <v>1</v>
      </c>
      <c r="I53" s="27">
        <v>1</v>
      </c>
      <c r="J53" s="27">
        <v>1</v>
      </c>
      <c r="K53" s="27"/>
      <c r="L53" s="27"/>
      <c r="M53" s="27"/>
      <c r="N53" s="53"/>
      <c r="O53" s="36">
        <v>0.03</v>
      </c>
      <c r="P53" s="48">
        <f t="shared" si="0"/>
        <v>0</v>
      </c>
      <c r="Q53" s="27"/>
      <c r="R53" s="27"/>
      <c r="S53" s="113">
        <v>3926209000</v>
      </c>
    </row>
    <row r="54" spans="1:19" s="5" customFormat="1" ht="12.75" customHeight="1" thickBot="1">
      <c r="A54" s="27">
        <v>43</v>
      </c>
      <c r="B54" s="49" t="s">
        <v>103</v>
      </c>
      <c r="C54" s="50" t="s">
        <v>104</v>
      </c>
      <c r="D54" s="114" t="s">
        <v>167</v>
      </c>
      <c r="E54" s="27"/>
      <c r="F54" s="27"/>
      <c r="G54" s="27"/>
      <c r="H54" s="27"/>
      <c r="I54" s="27">
        <v>6</v>
      </c>
      <c r="J54" s="27">
        <v>6</v>
      </c>
      <c r="K54" s="27">
        <v>4</v>
      </c>
      <c r="L54" s="27"/>
      <c r="M54" s="27"/>
      <c r="N54" s="53"/>
      <c r="O54" s="36">
        <v>0.03</v>
      </c>
      <c r="P54" s="48">
        <f t="shared" si="0"/>
        <v>0</v>
      </c>
      <c r="Q54" s="27"/>
      <c r="R54" s="27"/>
      <c r="S54" s="116">
        <v>7317009000</v>
      </c>
    </row>
    <row r="55" spans="1:19" s="5" customFormat="1" ht="12.75" customHeight="1">
      <c r="A55" s="27">
        <v>44</v>
      </c>
      <c r="B55" s="55" t="s">
        <v>105</v>
      </c>
      <c r="C55" s="35" t="s">
        <v>106</v>
      </c>
      <c r="D55" s="27" t="s">
        <v>170</v>
      </c>
      <c r="E55" s="27"/>
      <c r="F55" s="27"/>
      <c r="G55" s="27"/>
      <c r="H55" s="27"/>
      <c r="I55" s="27">
        <v>0.008</v>
      </c>
      <c r="J55" s="27">
        <v>0.009</v>
      </c>
      <c r="K55" s="27"/>
      <c r="L55" s="27"/>
      <c r="M55" s="27"/>
      <c r="N55" s="53"/>
      <c r="O55" s="36"/>
      <c r="P55" s="48"/>
      <c r="Q55" s="27"/>
      <c r="R55" s="27"/>
      <c r="S55" s="52"/>
    </row>
    <row r="56" spans="1:19" s="5" customFormat="1" ht="12.75" customHeight="1">
      <c r="A56" s="27">
        <v>45</v>
      </c>
      <c r="B56" s="55" t="s">
        <v>107</v>
      </c>
      <c r="C56" s="35" t="s">
        <v>108</v>
      </c>
      <c r="D56" s="27" t="s">
        <v>166</v>
      </c>
      <c r="E56" s="27"/>
      <c r="F56" s="27"/>
      <c r="G56" s="27"/>
      <c r="H56" s="27">
        <v>0.681</v>
      </c>
      <c r="I56" s="27">
        <v>0.802</v>
      </c>
      <c r="J56" s="27">
        <v>0.793</v>
      </c>
      <c r="K56" s="27"/>
      <c r="L56" s="27"/>
      <c r="M56" s="27"/>
      <c r="N56" s="53"/>
      <c r="O56" s="36"/>
      <c r="P56" s="48"/>
      <c r="Q56" s="27"/>
      <c r="R56" s="27"/>
      <c r="S56" s="52"/>
    </row>
    <row r="57" spans="1:19" s="5" customFormat="1" ht="12.75" customHeight="1">
      <c r="A57" s="27">
        <v>46</v>
      </c>
      <c r="B57" s="56" t="s">
        <v>109</v>
      </c>
      <c r="C57" s="35" t="s">
        <v>110</v>
      </c>
      <c r="D57" s="27" t="s">
        <v>167</v>
      </c>
      <c r="E57" s="27">
        <v>1</v>
      </c>
      <c r="F57" s="27">
        <v>1</v>
      </c>
      <c r="G57" s="27">
        <v>1</v>
      </c>
      <c r="H57" s="27"/>
      <c r="I57" s="27"/>
      <c r="J57" s="27"/>
      <c r="K57" s="27"/>
      <c r="L57" s="27"/>
      <c r="M57" s="27"/>
      <c r="N57" s="53"/>
      <c r="O57" s="36"/>
      <c r="P57" s="48"/>
      <c r="Q57" s="27"/>
      <c r="R57" s="27"/>
      <c r="S57" s="52"/>
    </row>
    <row r="58" spans="1:19" s="5" customFormat="1" ht="12.75" customHeight="1">
      <c r="A58" s="27">
        <v>47</v>
      </c>
      <c r="B58" s="5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53"/>
      <c r="O58" s="36"/>
      <c r="P58" s="48"/>
      <c r="Q58" s="27"/>
      <c r="R58" s="27"/>
      <c r="S58" s="52"/>
    </row>
    <row r="59" spans="1:19" s="5" customFormat="1" ht="12.75" customHeight="1">
      <c r="A59" s="27">
        <v>48</v>
      </c>
      <c r="B59" s="5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53"/>
      <c r="O59" s="36"/>
      <c r="P59" s="48"/>
      <c r="Q59" s="27"/>
      <c r="R59" s="27"/>
      <c r="S59" s="52"/>
    </row>
    <row r="60" spans="1:19" s="5" customFormat="1" ht="12.75" customHeight="1">
      <c r="A60" s="27">
        <v>49</v>
      </c>
      <c r="B60" s="5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53"/>
      <c r="O60" s="36"/>
      <c r="P60" s="48"/>
      <c r="Q60" s="27"/>
      <c r="R60" s="27"/>
      <c r="S60" s="52"/>
    </row>
    <row r="61" spans="1:19" s="5" customFormat="1" ht="12.75" customHeight="1">
      <c r="A61" s="27">
        <v>50</v>
      </c>
      <c r="B61" s="5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53"/>
      <c r="O61" s="36"/>
      <c r="P61" s="48"/>
      <c r="Q61" s="27"/>
      <c r="R61" s="27"/>
      <c r="S61" s="52"/>
    </row>
    <row r="62" spans="1:19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1:19" ht="18.75" customHeight="1">
      <c r="A63" s="9" t="s">
        <v>111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8"/>
      <c r="O63" s="39"/>
      <c r="P63" s="9"/>
      <c r="Q63" s="9"/>
      <c r="R63" s="9"/>
      <c r="S63" s="9"/>
    </row>
    <row r="64" spans="1:19" ht="18.75" customHeight="1">
      <c r="A64" s="9" t="s">
        <v>112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8"/>
      <c r="O64" s="39"/>
      <c r="P64" s="9"/>
      <c r="Q64" s="9"/>
      <c r="R64" s="9"/>
      <c r="S64" s="9"/>
    </row>
    <row r="65" spans="1:19" ht="42.75" customHeight="1">
      <c r="A65" s="9"/>
      <c r="B65" s="40" t="s">
        <v>127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41"/>
      <c r="O65" s="39"/>
      <c r="Q65" s="40" t="s">
        <v>128</v>
      </c>
      <c r="R65" s="40"/>
      <c r="S65" s="40"/>
    </row>
    <row r="66" spans="1:19" ht="16.5">
      <c r="A66" s="9"/>
      <c r="B66" s="40" t="s">
        <v>114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8"/>
      <c r="O66" s="39"/>
      <c r="Q66" s="40" t="s">
        <v>115</v>
      </c>
      <c r="R66" s="40"/>
      <c r="S66" s="40"/>
    </row>
    <row r="67" spans="1:19" ht="16.5">
      <c r="A67" s="9"/>
      <c r="B67" s="9" t="s">
        <v>116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38"/>
      <c r="O67" s="39"/>
      <c r="Q67" s="40" t="s">
        <v>117</v>
      </c>
      <c r="R67" s="40"/>
      <c r="S67" s="40"/>
    </row>
    <row r="68" spans="1:19" ht="16.5">
      <c r="A68" s="9"/>
      <c r="B68" s="4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38"/>
      <c r="O68" s="39"/>
      <c r="P68" s="9"/>
      <c r="Q68" s="9"/>
      <c r="R68" s="9"/>
      <c r="S68" s="9"/>
    </row>
    <row r="69" spans="1:19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38"/>
      <c r="O69" s="39"/>
      <c r="P69" s="9"/>
      <c r="Q69" s="9"/>
      <c r="R69" s="9"/>
      <c r="S69" s="40"/>
    </row>
    <row r="70" spans="1:19" ht="16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38"/>
      <c r="O70" s="40"/>
      <c r="P70" s="39"/>
      <c r="Q70" s="9"/>
      <c r="R70" s="9"/>
      <c r="S70" s="9"/>
    </row>
    <row r="71" spans="1:19" ht="12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38"/>
      <c r="O71" s="39"/>
      <c r="P71" s="9"/>
      <c r="Q71" s="9"/>
      <c r="R71" s="9"/>
      <c r="S71" s="9"/>
    </row>
    <row r="72" spans="1:19" ht="16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38"/>
      <c r="O72" s="39"/>
      <c r="P72" s="9"/>
      <c r="Q72" s="9"/>
      <c r="R72" s="9"/>
      <c r="S72" s="40"/>
    </row>
  </sheetData>
  <mergeCells count="11">
    <mergeCell ref="Q9:Q11"/>
    <mergeCell ref="R9:R11"/>
    <mergeCell ref="S9:S11"/>
    <mergeCell ref="N10:N11"/>
    <mergeCell ref="O10:O11"/>
    <mergeCell ref="N9:P9"/>
    <mergeCell ref="P10:P11"/>
    <mergeCell ref="A9:A11"/>
    <mergeCell ref="B9:B11"/>
    <mergeCell ref="C9:C11"/>
    <mergeCell ref="D9:D11"/>
  </mergeCells>
  <printOptions horizontalCentered="1"/>
  <pageMargins left="0.23" right="0" top="0.34" bottom="0.35" header="0" footer="0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zoomScale="85" zoomScaleNormal="85" workbookViewId="0" topLeftCell="A1">
      <selection activeCell="G19" sqref="G19"/>
    </sheetView>
  </sheetViews>
  <sheetFormatPr defaultColWidth="8.796875" defaultRowHeight="15"/>
  <cols>
    <col min="1" max="1" width="4.19921875" style="4" customWidth="1"/>
    <col min="2" max="2" width="17.59765625" style="4" customWidth="1"/>
    <col min="3" max="14" width="5.3984375" style="4" customWidth="1"/>
    <col min="15" max="15" width="8" style="4" customWidth="1"/>
    <col min="16" max="16" width="5" style="4" customWidth="1"/>
    <col min="17" max="17" width="11.69921875" style="4" customWidth="1"/>
    <col min="18" max="18" width="9" style="4" customWidth="1"/>
    <col min="19" max="19" width="8.5" style="4" customWidth="1"/>
    <col min="20" max="20" width="8" style="4" customWidth="1"/>
    <col min="21" max="21" width="10.5" style="4" customWidth="1"/>
    <col min="22" max="16384" width="8" style="4" customWidth="1"/>
  </cols>
  <sheetData>
    <row r="1" spans="1:22" ht="24.75" customHeight="1">
      <c r="A1" s="1">
        <v>4</v>
      </c>
      <c r="B1" s="1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</row>
    <row r="2" spans="1:22" s="5" customFormat="1" ht="14.25" customHeight="1">
      <c r="A2" s="4"/>
      <c r="B2" s="147"/>
      <c r="C2" s="147"/>
      <c r="D2" s="147"/>
      <c r="E2" s="14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"/>
      <c r="S2" s="148" t="s">
        <v>0</v>
      </c>
      <c r="T2" s="4"/>
      <c r="U2" s="4"/>
      <c r="V2" s="4"/>
    </row>
    <row r="3" spans="1:22" s="5" customFormat="1" ht="12.75" customHeight="1">
      <c r="A3" s="149" t="s">
        <v>225</v>
      </c>
      <c r="B3" s="150"/>
      <c r="C3" s="150"/>
      <c r="D3" s="150"/>
      <c r="E3" s="150"/>
      <c r="F3" s="149" t="s">
        <v>1</v>
      </c>
      <c r="G3" s="151"/>
      <c r="H3" s="151"/>
      <c r="I3" s="151"/>
      <c r="J3" s="151"/>
      <c r="K3" s="151"/>
      <c r="L3" s="151"/>
      <c r="M3" s="151"/>
      <c r="N3" s="151"/>
      <c r="O3" s="151"/>
      <c r="P3" s="149" t="s">
        <v>2</v>
      </c>
      <c r="Q3" s="4"/>
      <c r="R3" s="4"/>
      <c r="S3" s="152"/>
      <c r="T3" s="4"/>
      <c r="U3" s="4"/>
      <c r="V3" s="4"/>
    </row>
    <row r="4" spans="1:22" s="5" customFormat="1" ht="12.75" customHeight="1">
      <c r="A4" s="149" t="s">
        <v>3</v>
      </c>
      <c r="B4" s="150"/>
      <c r="C4" s="150"/>
      <c r="D4" s="150"/>
      <c r="E4" s="15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52"/>
      <c r="T4" s="4"/>
      <c r="U4" s="4"/>
      <c r="V4" s="4"/>
    </row>
    <row r="5" spans="1:22" s="5" customFormat="1" ht="12.75" customHeight="1">
      <c r="A5" s="149" t="s">
        <v>201</v>
      </c>
      <c r="B5" s="150"/>
      <c r="C5" s="150"/>
      <c r="D5" s="150"/>
      <c r="E5" s="150"/>
      <c r="F5" s="153"/>
      <c r="G5" s="4"/>
      <c r="H5" s="4"/>
      <c r="I5" s="4"/>
      <c r="J5" s="4"/>
      <c r="K5" s="4"/>
      <c r="L5" s="4"/>
      <c r="M5" s="4"/>
      <c r="N5" s="4"/>
      <c r="O5" s="151"/>
      <c r="P5" s="154"/>
      <c r="Q5" s="4"/>
      <c r="R5" s="4"/>
      <c r="S5" s="155" t="s">
        <v>4</v>
      </c>
      <c r="T5" s="4"/>
      <c r="U5" s="4"/>
      <c r="V5" s="4"/>
    </row>
    <row r="6" spans="1:22" s="5" customFormat="1" ht="12.75" customHeight="1">
      <c r="A6" s="149" t="s">
        <v>202</v>
      </c>
      <c r="B6" s="150"/>
      <c r="C6" s="150"/>
      <c r="D6" s="150"/>
      <c r="E6" s="150"/>
      <c r="F6" s="153"/>
      <c r="G6" s="4"/>
      <c r="H6" s="4"/>
      <c r="I6" s="4"/>
      <c r="J6" s="4"/>
      <c r="K6" s="4"/>
      <c r="L6" s="4"/>
      <c r="M6" s="4"/>
      <c r="N6" s="4"/>
      <c r="O6" s="151"/>
      <c r="P6" s="154"/>
      <c r="Q6" s="4"/>
      <c r="R6" s="4"/>
      <c r="S6" s="155"/>
      <c r="T6" s="4"/>
      <c r="U6" s="4"/>
      <c r="V6" s="4"/>
    </row>
    <row r="7" spans="1:22" s="5" customFormat="1" ht="12.75" customHeight="1">
      <c r="A7" s="156" t="s">
        <v>226</v>
      </c>
      <c r="B7" s="150"/>
      <c r="C7" s="150"/>
      <c r="D7" s="150"/>
      <c r="E7" s="150"/>
      <c r="F7" s="153"/>
      <c r="G7" s="4"/>
      <c r="H7" s="4"/>
      <c r="I7" s="4"/>
      <c r="J7" s="4"/>
      <c r="K7" s="4"/>
      <c r="L7" s="4"/>
      <c r="M7" s="4"/>
      <c r="N7" s="4"/>
      <c r="O7" s="4"/>
      <c r="P7" s="154"/>
      <c r="Q7" s="4"/>
      <c r="R7" s="4"/>
      <c r="S7" s="152"/>
      <c r="T7" s="4"/>
      <c r="U7" s="4"/>
      <c r="V7" s="4"/>
    </row>
    <row r="8" spans="1:22" s="5" customFormat="1" ht="12.75" customHeight="1">
      <c r="A8" s="149" t="s">
        <v>198</v>
      </c>
      <c r="B8" s="150"/>
      <c r="C8" s="150"/>
      <c r="D8" s="150"/>
      <c r="E8" s="150"/>
      <c r="F8" s="153"/>
      <c r="G8" s="151"/>
      <c r="H8" s="151"/>
      <c r="I8" s="151"/>
      <c r="J8" s="151"/>
      <c r="K8" s="151"/>
      <c r="L8" s="151"/>
      <c r="M8" s="151"/>
      <c r="N8" s="151"/>
      <c r="O8" s="151"/>
      <c r="P8" s="154"/>
      <c r="Q8" s="4"/>
      <c r="R8" s="4"/>
      <c r="S8" s="152"/>
      <c r="T8" s="4"/>
      <c r="U8" s="4"/>
      <c r="V8" s="4"/>
    </row>
    <row r="9" spans="1:22" s="5" customFormat="1" ht="20.25" customHeight="1">
      <c r="A9" s="157" t="s">
        <v>178</v>
      </c>
      <c r="B9" s="158"/>
      <c r="C9" s="158" t="str">
        <f>'DANH MUC NPL'!H9</f>
        <v>308A361</v>
      </c>
      <c r="D9" s="158"/>
      <c r="E9" s="158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1" t="s">
        <v>6</v>
      </c>
      <c r="Q9" s="162">
        <f>'DANH MUC NPL'!H10</f>
        <v>22800</v>
      </c>
      <c r="R9" s="142" t="s">
        <v>151</v>
      </c>
      <c r="S9" s="157"/>
      <c r="T9" s="4"/>
      <c r="U9" s="4"/>
      <c r="V9" s="4"/>
    </row>
    <row r="10" spans="1:22" s="5" customFormat="1" ht="15" customHeight="1">
      <c r="A10" s="353" t="s">
        <v>8</v>
      </c>
      <c r="B10" s="408" t="s">
        <v>9</v>
      </c>
      <c r="C10" s="409"/>
      <c r="D10" s="409"/>
      <c r="E10" s="410"/>
      <c r="F10" s="407" t="s">
        <v>10</v>
      </c>
      <c r="G10" s="393" t="s">
        <v>11</v>
      </c>
      <c r="H10" s="402" t="s">
        <v>194</v>
      </c>
      <c r="I10" s="403"/>
      <c r="J10" s="403"/>
      <c r="K10" s="403"/>
      <c r="L10" s="403"/>
      <c r="M10" s="403"/>
      <c r="N10" s="404"/>
      <c r="O10" s="405" t="s">
        <v>12</v>
      </c>
      <c r="P10" s="406"/>
      <c r="Q10" s="406"/>
      <c r="R10" s="397" t="s">
        <v>13</v>
      </c>
      <c r="S10" s="397" t="s">
        <v>14</v>
      </c>
      <c r="T10" s="4"/>
      <c r="U10" s="4"/>
      <c r="V10" s="4"/>
    </row>
    <row r="11" spans="1:22" s="5" customFormat="1" ht="15" customHeight="1">
      <c r="A11" s="354"/>
      <c r="B11" s="411"/>
      <c r="C11" s="412"/>
      <c r="D11" s="412"/>
      <c r="E11" s="413"/>
      <c r="F11" s="394"/>
      <c r="G11" s="394"/>
      <c r="H11" s="273">
        <v>7</v>
      </c>
      <c r="I11" s="273">
        <v>8</v>
      </c>
      <c r="J11" s="273">
        <v>10</v>
      </c>
      <c r="K11" s="274">
        <v>12</v>
      </c>
      <c r="L11" s="273">
        <v>14</v>
      </c>
      <c r="M11" s="273">
        <v>16</v>
      </c>
      <c r="N11" s="273"/>
      <c r="O11" s="398" t="s">
        <v>214</v>
      </c>
      <c r="P11" s="400" t="s">
        <v>200</v>
      </c>
      <c r="Q11" s="395" t="s">
        <v>195</v>
      </c>
      <c r="R11" s="397"/>
      <c r="S11" s="397"/>
      <c r="T11" s="4"/>
      <c r="U11" s="4"/>
      <c r="V11" s="4"/>
    </row>
    <row r="12" spans="1:22" s="5" customFormat="1" ht="15" customHeight="1">
      <c r="A12" s="355"/>
      <c r="B12" s="414"/>
      <c r="C12" s="415"/>
      <c r="D12" s="415"/>
      <c r="E12" s="416"/>
      <c r="F12" s="394"/>
      <c r="G12" s="394"/>
      <c r="H12" s="275">
        <f>3148+652</f>
        <v>3800</v>
      </c>
      <c r="I12" s="275">
        <f>3148+652</f>
        <v>3800</v>
      </c>
      <c r="J12" s="275">
        <f>4680+978</f>
        <v>5658</v>
      </c>
      <c r="K12" s="276">
        <f>3148+978</f>
        <v>4126</v>
      </c>
      <c r="L12" s="275">
        <f>3148+326</f>
        <v>3474</v>
      </c>
      <c r="M12" s="275">
        <f>1616+326</f>
        <v>1942</v>
      </c>
      <c r="N12" s="275"/>
      <c r="O12" s="399"/>
      <c r="P12" s="401"/>
      <c r="Q12" s="396"/>
      <c r="R12" s="397"/>
      <c r="S12" s="397"/>
      <c r="T12" s="4"/>
      <c r="U12" s="4">
        <f>SUM(H12:N12)</f>
        <v>22800</v>
      </c>
      <c r="V12" s="4"/>
    </row>
    <row r="13" spans="1:22" s="5" customFormat="1" ht="14.25" customHeight="1">
      <c r="A13" s="163">
        <v>1</v>
      </c>
      <c r="B13" s="49" t="s">
        <v>22</v>
      </c>
      <c r="C13" s="267"/>
      <c r="D13" s="267"/>
      <c r="E13" s="188"/>
      <c r="F13" s="272" t="s">
        <v>23</v>
      </c>
      <c r="G13" s="281" t="s">
        <v>243</v>
      </c>
      <c r="H13" s="277">
        <f>K13*0.97</f>
        <v>1.52775</v>
      </c>
      <c r="I13" s="277">
        <f>K13*0.98</f>
        <v>1.5434999999999999</v>
      </c>
      <c r="J13" s="277">
        <f>K13*0.99</f>
        <v>1.55925</v>
      </c>
      <c r="K13" s="277">
        <v>1.575</v>
      </c>
      <c r="L13" s="277">
        <f>K13*1.01</f>
        <v>1.5907499999999999</v>
      </c>
      <c r="M13" s="277">
        <f>K13*1.02</f>
        <v>1.6065</v>
      </c>
      <c r="N13" s="277"/>
      <c r="O13" s="282">
        <f>'DANH MUC NPL'!H14</f>
        <v>1.563</v>
      </c>
      <c r="P13" s="283">
        <v>0.03</v>
      </c>
      <c r="Q13" s="284">
        <f aca="true" t="shared" si="0" ref="Q13:Q25">O13*1.03*$Q$9</f>
        <v>36705.492</v>
      </c>
      <c r="R13" s="285" t="s">
        <v>19</v>
      </c>
      <c r="S13" s="286"/>
      <c r="T13" s="4"/>
      <c r="U13" s="215">
        <f aca="true" t="shared" si="1" ref="U13:U19">(H13*$H$12+I13*$I$12+J13*$J$12+K13*$K$12+L13*$L$12+M13*$M$12+N13*$N$12)/$Q$9</f>
        <v>1.563049342105263</v>
      </c>
      <c r="V13" s="4"/>
    </row>
    <row r="14" spans="1:22" s="5" customFormat="1" ht="14.25" customHeight="1">
      <c r="A14" s="163">
        <v>2</v>
      </c>
      <c r="B14" s="49" t="s">
        <v>48</v>
      </c>
      <c r="C14" s="268"/>
      <c r="D14" s="268"/>
      <c r="E14" s="214"/>
      <c r="F14" s="272" t="s">
        <v>49</v>
      </c>
      <c r="G14" s="281" t="s">
        <v>165</v>
      </c>
      <c r="H14" s="278">
        <f>K14*0.97</f>
        <v>326.502</v>
      </c>
      <c r="I14" s="278">
        <f>K14*0.98</f>
        <v>329.868</v>
      </c>
      <c r="J14" s="278">
        <f>K14*0.99</f>
        <v>333.23400000000004</v>
      </c>
      <c r="K14" s="278">
        <v>336.6</v>
      </c>
      <c r="L14" s="278">
        <f>K14*1.01</f>
        <v>339.966</v>
      </c>
      <c r="M14" s="278">
        <f>K14*1.02</f>
        <v>343.33200000000005</v>
      </c>
      <c r="N14" s="277"/>
      <c r="O14" s="282">
        <f>'DANH MUC NPL'!H27</f>
        <v>334.098</v>
      </c>
      <c r="P14" s="283">
        <v>0.03</v>
      </c>
      <c r="Q14" s="284">
        <f t="shared" si="0"/>
        <v>7845957.432</v>
      </c>
      <c r="R14" s="287" t="s">
        <v>172</v>
      </c>
      <c r="S14" s="288"/>
      <c r="T14" s="4"/>
      <c r="U14" s="215">
        <f t="shared" si="1"/>
        <v>334.04597368421054</v>
      </c>
      <c r="V14" s="4"/>
    </row>
    <row r="15" spans="1:22" s="5" customFormat="1" ht="14.25" customHeight="1">
      <c r="A15" s="163">
        <v>3</v>
      </c>
      <c r="B15" s="49" t="s">
        <v>50</v>
      </c>
      <c r="C15" s="268"/>
      <c r="D15" s="268"/>
      <c r="E15" s="214"/>
      <c r="F15" s="272" t="s">
        <v>51</v>
      </c>
      <c r="G15" s="281" t="s">
        <v>167</v>
      </c>
      <c r="H15" s="279">
        <f aca="true" t="shared" si="2" ref="H15:M15">$O$15</f>
        <v>1</v>
      </c>
      <c r="I15" s="279">
        <f t="shared" si="2"/>
        <v>1</v>
      </c>
      <c r="J15" s="279">
        <f t="shared" si="2"/>
        <v>1</v>
      </c>
      <c r="K15" s="279">
        <f t="shared" si="2"/>
        <v>1</v>
      </c>
      <c r="L15" s="279">
        <f t="shared" si="2"/>
        <v>1</v>
      </c>
      <c r="M15" s="279">
        <f t="shared" si="2"/>
        <v>1</v>
      </c>
      <c r="N15" s="279"/>
      <c r="O15" s="282">
        <f>'DANH MUC NPL'!H28</f>
        <v>1</v>
      </c>
      <c r="P15" s="283">
        <v>0.03</v>
      </c>
      <c r="Q15" s="284">
        <f t="shared" si="0"/>
        <v>23484</v>
      </c>
      <c r="R15" s="285" t="s">
        <v>19</v>
      </c>
      <c r="S15" s="288"/>
      <c r="T15" s="4"/>
      <c r="U15" s="215">
        <f t="shared" si="1"/>
        <v>1</v>
      </c>
      <c r="V15" s="4"/>
    </row>
    <row r="16" spans="1:22" s="5" customFormat="1" ht="14.25" customHeight="1">
      <c r="A16" s="163">
        <v>4</v>
      </c>
      <c r="B16" s="49" t="s">
        <v>65</v>
      </c>
      <c r="C16" s="268"/>
      <c r="D16" s="268"/>
      <c r="E16" s="214"/>
      <c r="F16" s="272" t="s">
        <v>66</v>
      </c>
      <c r="G16" s="281" t="s">
        <v>167</v>
      </c>
      <c r="H16" s="279">
        <f aca="true" t="shared" si="3" ref="H16:M16">$O$16</f>
        <v>10</v>
      </c>
      <c r="I16" s="279">
        <f t="shared" si="3"/>
        <v>10</v>
      </c>
      <c r="J16" s="279">
        <f t="shared" si="3"/>
        <v>10</v>
      </c>
      <c r="K16" s="279">
        <f t="shared" si="3"/>
        <v>10</v>
      </c>
      <c r="L16" s="279">
        <f t="shared" si="3"/>
        <v>10</v>
      </c>
      <c r="M16" s="279">
        <f t="shared" si="3"/>
        <v>10</v>
      </c>
      <c r="N16" s="279"/>
      <c r="O16" s="282">
        <f>'DANH MUC NPL'!H35</f>
        <v>10</v>
      </c>
      <c r="P16" s="283">
        <v>0.03</v>
      </c>
      <c r="Q16" s="284">
        <f t="shared" si="0"/>
        <v>234840.00000000003</v>
      </c>
      <c r="R16" s="285" t="s">
        <v>19</v>
      </c>
      <c r="S16" s="288"/>
      <c r="T16" s="4"/>
      <c r="U16" s="215">
        <f t="shared" si="1"/>
        <v>10</v>
      </c>
      <c r="V16" s="4"/>
    </row>
    <row r="17" spans="1:22" s="5" customFormat="1" ht="14.25" customHeight="1">
      <c r="A17" s="163">
        <v>5</v>
      </c>
      <c r="B17" s="49" t="s">
        <v>73</v>
      </c>
      <c r="C17" s="268"/>
      <c r="D17" s="268"/>
      <c r="E17" s="214"/>
      <c r="F17" s="272" t="s">
        <v>74</v>
      </c>
      <c r="G17" s="281" t="s">
        <v>167</v>
      </c>
      <c r="H17" s="279">
        <f aca="true" t="shared" si="4" ref="H17:M17">$O$17</f>
        <v>1</v>
      </c>
      <c r="I17" s="279">
        <f t="shared" si="4"/>
        <v>1</v>
      </c>
      <c r="J17" s="279">
        <f t="shared" si="4"/>
        <v>1</v>
      </c>
      <c r="K17" s="279">
        <f t="shared" si="4"/>
        <v>1</v>
      </c>
      <c r="L17" s="279">
        <f t="shared" si="4"/>
        <v>1</v>
      </c>
      <c r="M17" s="279">
        <f t="shared" si="4"/>
        <v>1</v>
      </c>
      <c r="N17" s="279"/>
      <c r="O17" s="282">
        <f>'DANH MUC NPL'!H39</f>
        <v>1</v>
      </c>
      <c r="P17" s="283">
        <v>0</v>
      </c>
      <c r="Q17" s="284">
        <f t="shared" si="0"/>
        <v>23484</v>
      </c>
      <c r="R17" s="285" t="s">
        <v>19</v>
      </c>
      <c r="S17" s="288"/>
      <c r="T17" s="4"/>
      <c r="U17" s="215">
        <f t="shared" si="1"/>
        <v>1</v>
      </c>
      <c r="V17" s="4"/>
    </row>
    <row r="18" spans="1:22" s="5" customFormat="1" ht="14.25" customHeight="1">
      <c r="A18" s="163">
        <v>6</v>
      </c>
      <c r="B18" s="49" t="s">
        <v>75</v>
      </c>
      <c r="C18" s="268"/>
      <c r="D18" s="268"/>
      <c r="E18" s="214"/>
      <c r="F18" s="272" t="s">
        <v>76</v>
      </c>
      <c r="G18" s="281" t="s">
        <v>167</v>
      </c>
      <c r="H18" s="279">
        <f aca="true" t="shared" si="5" ref="H18:M18">$O$18</f>
        <v>1</v>
      </c>
      <c r="I18" s="279">
        <f t="shared" si="5"/>
        <v>1</v>
      </c>
      <c r="J18" s="279">
        <f t="shared" si="5"/>
        <v>1</v>
      </c>
      <c r="K18" s="279">
        <f t="shared" si="5"/>
        <v>1</v>
      </c>
      <c r="L18" s="279">
        <f t="shared" si="5"/>
        <v>1</v>
      </c>
      <c r="M18" s="279">
        <f t="shared" si="5"/>
        <v>1</v>
      </c>
      <c r="N18" s="279"/>
      <c r="O18" s="282">
        <f>'DANH MUC NPL'!H40</f>
        <v>1</v>
      </c>
      <c r="P18" s="283">
        <v>0.03</v>
      </c>
      <c r="Q18" s="284">
        <f t="shared" si="0"/>
        <v>23484</v>
      </c>
      <c r="R18" s="285" t="s">
        <v>19</v>
      </c>
      <c r="S18" s="288"/>
      <c r="T18" s="4"/>
      <c r="U18" s="215">
        <f t="shared" si="1"/>
        <v>1</v>
      </c>
      <c r="V18" s="4"/>
    </row>
    <row r="19" spans="1:22" s="5" customFormat="1" ht="14.25" customHeight="1">
      <c r="A19" s="163">
        <v>7</v>
      </c>
      <c r="B19" s="49" t="s">
        <v>242</v>
      </c>
      <c r="C19" s="268"/>
      <c r="D19" s="268"/>
      <c r="E19" s="214"/>
      <c r="F19" s="272" t="s">
        <v>78</v>
      </c>
      <c r="G19" s="281" t="s">
        <v>167</v>
      </c>
      <c r="H19" s="279">
        <f aca="true" t="shared" si="6" ref="H19:M19">$O$19</f>
        <v>4</v>
      </c>
      <c r="I19" s="279">
        <f t="shared" si="6"/>
        <v>4</v>
      </c>
      <c r="J19" s="279">
        <f t="shared" si="6"/>
        <v>4</v>
      </c>
      <c r="K19" s="279">
        <f t="shared" si="6"/>
        <v>4</v>
      </c>
      <c r="L19" s="279">
        <f t="shared" si="6"/>
        <v>4</v>
      </c>
      <c r="M19" s="279">
        <f t="shared" si="6"/>
        <v>4</v>
      </c>
      <c r="N19" s="279"/>
      <c r="O19" s="282">
        <f>'DANH MUC NPL'!H41</f>
        <v>4</v>
      </c>
      <c r="P19" s="283">
        <v>0.03</v>
      </c>
      <c r="Q19" s="284">
        <f t="shared" si="0"/>
        <v>93936</v>
      </c>
      <c r="R19" s="285" t="s">
        <v>19</v>
      </c>
      <c r="S19" s="288"/>
      <c r="T19" s="4"/>
      <c r="U19" s="215">
        <f t="shared" si="1"/>
        <v>4</v>
      </c>
      <c r="V19" s="4"/>
    </row>
    <row r="20" spans="1:22" s="5" customFormat="1" ht="14.25" customHeight="1">
      <c r="A20" s="163">
        <v>8</v>
      </c>
      <c r="B20" s="49" t="s">
        <v>87</v>
      </c>
      <c r="C20" s="268"/>
      <c r="D20" s="268"/>
      <c r="E20" s="214"/>
      <c r="F20" s="272" t="s">
        <v>88</v>
      </c>
      <c r="G20" s="281" t="s">
        <v>167</v>
      </c>
      <c r="H20" s="279">
        <f aca="true" t="shared" si="7" ref="H20:M20">$O$20</f>
        <v>1</v>
      </c>
      <c r="I20" s="279">
        <f t="shared" si="7"/>
        <v>1</v>
      </c>
      <c r="J20" s="279">
        <f t="shared" si="7"/>
        <v>1</v>
      </c>
      <c r="K20" s="279">
        <f t="shared" si="7"/>
        <v>1</v>
      </c>
      <c r="L20" s="279">
        <f t="shared" si="7"/>
        <v>1</v>
      </c>
      <c r="M20" s="279">
        <f t="shared" si="7"/>
        <v>1</v>
      </c>
      <c r="N20" s="279"/>
      <c r="O20" s="282">
        <f>'DANH MUC NPL'!H46</f>
        <v>1</v>
      </c>
      <c r="P20" s="283">
        <v>0.03</v>
      </c>
      <c r="Q20" s="284">
        <f t="shared" si="0"/>
        <v>23484</v>
      </c>
      <c r="R20" s="287" t="s">
        <v>172</v>
      </c>
      <c r="S20" s="288"/>
      <c r="T20" s="4"/>
      <c r="U20" s="215">
        <f aca="true" t="shared" si="8" ref="U20:U25">(H20*$H$12+I20*$I$12+J20*$J$12+K20*$K$12+L20*$L$12+M20*$M$12+N20*$N$12)/$Q$9</f>
        <v>1</v>
      </c>
      <c r="V20" s="4"/>
    </row>
    <row r="21" spans="1:22" s="5" customFormat="1" ht="14.25" customHeight="1">
      <c r="A21" s="163">
        <v>9</v>
      </c>
      <c r="B21" s="49" t="s">
        <v>89</v>
      </c>
      <c r="C21" s="268"/>
      <c r="D21" s="268"/>
      <c r="E21" s="214"/>
      <c r="F21" s="272" t="s">
        <v>90</v>
      </c>
      <c r="G21" s="281" t="s">
        <v>167</v>
      </c>
      <c r="H21" s="279">
        <f aca="true" t="shared" si="9" ref="H21:M21">$O$21</f>
        <v>1</v>
      </c>
      <c r="I21" s="279">
        <f t="shared" si="9"/>
        <v>1</v>
      </c>
      <c r="J21" s="279">
        <f t="shared" si="9"/>
        <v>1</v>
      </c>
      <c r="K21" s="279">
        <f t="shared" si="9"/>
        <v>1</v>
      </c>
      <c r="L21" s="279">
        <f t="shared" si="9"/>
        <v>1</v>
      </c>
      <c r="M21" s="279">
        <f t="shared" si="9"/>
        <v>1</v>
      </c>
      <c r="N21" s="279"/>
      <c r="O21" s="282">
        <f>'DANH MUC NPL'!H47</f>
        <v>1</v>
      </c>
      <c r="P21" s="283">
        <v>0.03</v>
      </c>
      <c r="Q21" s="284">
        <f t="shared" si="0"/>
        <v>23484</v>
      </c>
      <c r="R21" s="287" t="s">
        <v>172</v>
      </c>
      <c r="S21" s="288"/>
      <c r="T21" s="4"/>
      <c r="U21" s="215">
        <f t="shared" si="8"/>
        <v>1</v>
      </c>
      <c r="V21" s="4"/>
    </row>
    <row r="22" spans="1:22" s="5" customFormat="1" ht="14.25" customHeight="1">
      <c r="A22" s="163">
        <v>10</v>
      </c>
      <c r="B22" s="49" t="s">
        <v>95</v>
      </c>
      <c r="C22" s="268"/>
      <c r="D22" s="268"/>
      <c r="E22" s="214"/>
      <c r="F22" s="272" t="s">
        <v>96</v>
      </c>
      <c r="G22" s="281" t="s">
        <v>167</v>
      </c>
      <c r="H22" s="279">
        <f aca="true" t="shared" si="10" ref="H22:M22">$O$22</f>
        <v>1</v>
      </c>
      <c r="I22" s="279">
        <f t="shared" si="10"/>
        <v>1</v>
      </c>
      <c r="J22" s="279">
        <f t="shared" si="10"/>
        <v>1</v>
      </c>
      <c r="K22" s="279">
        <f t="shared" si="10"/>
        <v>1</v>
      </c>
      <c r="L22" s="279">
        <f t="shared" si="10"/>
        <v>1</v>
      </c>
      <c r="M22" s="279">
        <f t="shared" si="10"/>
        <v>1</v>
      </c>
      <c r="N22" s="279"/>
      <c r="O22" s="282">
        <f>'DANH MUC NPL'!H50</f>
        <v>1</v>
      </c>
      <c r="P22" s="283">
        <v>0.03</v>
      </c>
      <c r="Q22" s="284">
        <f t="shared" si="0"/>
        <v>23484</v>
      </c>
      <c r="R22" s="285" t="s">
        <v>19</v>
      </c>
      <c r="S22" s="288"/>
      <c r="T22" s="4"/>
      <c r="U22" s="215">
        <f t="shared" si="8"/>
        <v>1</v>
      </c>
      <c r="V22" s="4"/>
    </row>
    <row r="23" spans="1:22" s="5" customFormat="1" ht="14.25" customHeight="1">
      <c r="A23" s="163">
        <v>11</v>
      </c>
      <c r="B23" s="49" t="s">
        <v>99</v>
      </c>
      <c r="C23" s="268"/>
      <c r="D23" s="268"/>
      <c r="E23" s="214"/>
      <c r="F23" s="272" t="s">
        <v>100</v>
      </c>
      <c r="G23" s="281" t="s">
        <v>167</v>
      </c>
      <c r="H23" s="280">
        <f aca="true" t="shared" si="11" ref="H23:M23">$O$23</f>
        <v>0.084</v>
      </c>
      <c r="I23" s="280">
        <f t="shared" si="11"/>
        <v>0.084</v>
      </c>
      <c r="J23" s="280">
        <f>$O$23</f>
        <v>0.084</v>
      </c>
      <c r="K23" s="280">
        <f t="shared" si="11"/>
        <v>0.084</v>
      </c>
      <c r="L23" s="280">
        <f t="shared" si="11"/>
        <v>0.084</v>
      </c>
      <c r="M23" s="280">
        <f t="shared" si="11"/>
        <v>0.084</v>
      </c>
      <c r="N23" s="279"/>
      <c r="O23" s="282">
        <f>'DANH MUC NPL'!H52</f>
        <v>0.084</v>
      </c>
      <c r="P23" s="283">
        <v>0.03</v>
      </c>
      <c r="Q23" s="284">
        <f t="shared" si="0"/>
        <v>1972.6560000000004</v>
      </c>
      <c r="R23" s="287" t="s">
        <v>172</v>
      </c>
      <c r="S23" s="288"/>
      <c r="T23" s="4"/>
      <c r="U23" s="215">
        <f t="shared" si="8"/>
        <v>0.084</v>
      </c>
      <c r="V23" s="4"/>
    </row>
    <row r="24" spans="1:22" s="5" customFormat="1" ht="14.25" customHeight="1">
      <c r="A24" s="163">
        <v>12</v>
      </c>
      <c r="B24" s="49" t="s">
        <v>101</v>
      </c>
      <c r="C24" s="268"/>
      <c r="D24" s="268"/>
      <c r="E24" s="214"/>
      <c r="F24" s="272" t="s">
        <v>102</v>
      </c>
      <c r="G24" s="281" t="s">
        <v>167</v>
      </c>
      <c r="H24" s="279">
        <f aca="true" t="shared" si="12" ref="H24:M24">$O$24</f>
        <v>1</v>
      </c>
      <c r="I24" s="279">
        <f t="shared" si="12"/>
        <v>1</v>
      </c>
      <c r="J24" s="279">
        <f t="shared" si="12"/>
        <v>1</v>
      </c>
      <c r="K24" s="279">
        <f t="shared" si="12"/>
        <v>1</v>
      </c>
      <c r="L24" s="279">
        <f t="shared" si="12"/>
        <v>1</v>
      </c>
      <c r="M24" s="279">
        <f t="shared" si="12"/>
        <v>1</v>
      </c>
      <c r="N24" s="279"/>
      <c r="O24" s="282">
        <f>'DANH MUC NPL'!H53</f>
        <v>1</v>
      </c>
      <c r="P24" s="283">
        <v>0.03</v>
      </c>
      <c r="Q24" s="284">
        <f t="shared" si="0"/>
        <v>23484</v>
      </c>
      <c r="R24" s="285" t="s">
        <v>19</v>
      </c>
      <c r="S24" s="288"/>
      <c r="T24" s="4"/>
      <c r="U24" s="215">
        <f t="shared" si="8"/>
        <v>1</v>
      </c>
      <c r="V24" s="4"/>
    </row>
    <row r="25" spans="1:22" s="5" customFormat="1" ht="14.25" customHeight="1">
      <c r="A25" s="163">
        <v>13</v>
      </c>
      <c r="B25" s="55" t="s">
        <v>107</v>
      </c>
      <c r="C25" s="268"/>
      <c r="D25" s="268"/>
      <c r="E25" s="214"/>
      <c r="F25" s="272" t="s">
        <v>108</v>
      </c>
      <c r="G25" s="289" t="s">
        <v>166</v>
      </c>
      <c r="H25" s="277">
        <f>K25*0.97</f>
        <v>0.66542</v>
      </c>
      <c r="I25" s="277">
        <f>K25*0.98</f>
        <v>0.67228</v>
      </c>
      <c r="J25" s="277">
        <f>K25*0.99</f>
        <v>0.6791400000000001</v>
      </c>
      <c r="K25" s="277">
        <v>0.686</v>
      </c>
      <c r="L25" s="277">
        <f>K25*1.01</f>
        <v>0.69286</v>
      </c>
      <c r="M25" s="277">
        <f>K25*1.02</f>
        <v>0.6997200000000001</v>
      </c>
      <c r="N25" s="277"/>
      <c r="O25" s="282">
        <f>'DANH MUC NPL'!H56</f>
        <v>0.681</v>
      </c>
      <c r="P25" s="283">
        <v>0.03</v>
      </c>
      <c r="Q25" s="284">
        <f t="shared" si="0"/>
        <v>15992.604000000003</v>
      </c>
      <c r="R25" s="285" t="s">
        <v>19</v>
      </c>
      <c r="S25" s="288"/>
      <c r="T25" s="4"/>
      <c r="U25" s="215">
        <f t="shared" si="8"/>
        <v>0.6807948245614035</v>
      </c>
      <c r="V25" s="4"/>
    </row>
    <row r="26" spans="1:19" ht="11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2:8" ht="14.25" customHeight="1">
      <c r="B27" s="194" t="s">
        <v>206</v>
      </c>
      <c r="C27" s="290">
        <f aca="true" t="shared" si="13" ref="C27:H28">H11</f>
        <v>7</v>
      </c>
      <c r="D27" s="290">
        <f t="shared" si="13"/>
        <v>8</v>
      </c>
      <c r="E27" s="290">
        <f t="shared" si="13"/>
        <v>10</v>
      </c>
      <c r="F27" s="290">
        <f t="shared" si="13"/>
        <v>12</v>
      </c>
      <c r="G27" s="290">
        <f t="shared" si="13"/>
        <v>14</v>
      </c>
      <c r="H27" s="290">
        <f t="shared" si="13"/>
        <v>16</v>
      </c>
    </row>
    <row r="28" spans="2:8" ht="12.75" customHeight="1">
      <c r="B28" s="191" t="s">
        <v>203</v>
      </c>
      <c r="C28" s="291">
        <f t="shared" si="13"/>
        <v>3800</v>
      </c>
      <c r="D28" s="291">
        <f t="shared" si="13"/>
        <v>3800</v>
      </c>
      <c r="E28" s="291">
        <f t="shared" si="13"/>
        <v>5658</v>
      </c>
      <c r="F28" s="291">
        <f t="shared" si="13"/>
        <v>4126</v>
      </c>
      <c r="G28" s="291">
        <f t="shared" si="13"/>
        <v>3474</v>
      </c>
      <c r="H28" s="291">
        <f t="shared" si="13"/>
        <v>1942</v>
      </c>
    </row>
    <row r="29" spans="2:8" ht="12.75" customHeight="1">
      <c r="B29" s="191" t="s">
        <v>228</v>
      </c>
      <c r="C29" s="292" t="s">
        <v>237</v>
      </c>
      <c r="D29" s="292" t="s">
        <v>238</v>
      </c>
      <c r="E29" s="292" t="s">
        <v>239</v>
      </c>
      <c r="F29" s="293" t="s">
        <v>230</v>
      </c>
      <c r="G29" s="293" t="s">
        <v>240</v>
      </c>
      <c r="H29" s="293" t="s">
        <v>241</v>
      </c>
    </row>
    <row r="30" spans="2:8" ht="12.75" customHeight="1">
      <c r="B30" s="191" t="s">
        <v>229</v>
      </c>
      <c r="C30" s="292" t="s">
        <v>234</v>
      </c>
      <c r="D30" s="292" t="s">
        <v>235</v>
      </c>
      <c r="E30" s="292" t="s">
        <v>236</v>
      </c>
      <c r="F30" s="293" t="s">
        <v>231</v>
      </c>
      <c r="G30" s="293" t="s">
        <v>232</v>
      </c>
      <c r="H30" s="293" t="s">
        <v>233</v>
      </c>
    </row>
    <row r="31" spans="1:22" ht="13.5" customHeight="1">
      <c r="A31" s="149" t="s">
        <v>112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66"/>
      <c r="P31" s="167"/>
      <c r="Q31" s="149"/>
      <c r="R31" s="149"/>
      <c r="S31" s="149"/>
      <c r="T31" s="149"/>
      <c r="U31" s="149"/>
      <c r="V31" s="149"/>
    </row>
    <row r="32" spans="1:19" ht="19.5" customHeight="1">
      <c r="A32" s="149"/>
      <c r="B32" s="168" t="s">
        <v>113</v>
      </c>
      <c r="C32" s="169"/>
      <c r="D32" s="169"/>
      <c r="E32" s="169"/>
      <c r="F32" s="149"/>
      <c r="G32" s="149"/>
      <c r="H32" s="149"/>
      <c r="I32" s="149"/>
      <c r="J32" s="149"/>
      <c r="K32" s="149"/>
      <c r="L32" s="149"/>
      <c r="M32" s="149"/>
      <c r="N32" s="149"/>
      <c r="O32" s="170"/>
      <c r="P32" s="167"/>
      <c r="Q32" s="169" t="s">
        <v>113</v>
      </c>
      <c r="R32" s="169"/>
      <c r="S32" s="169"/>
    </row>
    <row r="33" spans="1:19" ht="14.25">
      <c r="A33" s="149"/>
      <c r="B33" s="168" t="s">
        <v>114</v>
      </c>
      <c r="C33" s="169"/>
      <c r="D33" s="169"/>
      <c r="E33" s="169"/>
      <c r="F33" s="149"/>
      <c r="G33" s="149"/>
      <c r="H33" s="149"/>
      <c r="I33" s="149"/>
      <c r="J33" s="149"/>
      <c r="K33" s="149"/>
      <c r="L33" s="149"/>
      <c r="M33" s="149"/>
      <c r="N33" s="149"/>
      <c r="O33" s="166"/>
      <c r="P33" s="167"/>
      <c r="Q33" s="169" t="s">
        <v>115</v>
      </c>
      <c r="R33" s="169"/>
      <c r="S33" s="169"/>
    </row>
    <row r="34" spans="1:19" ht="14.25">
      <c r="A34" s="149"/>
      <c r="B34" s="149" t="s">
        <v>116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66"/>
      <c r="P34" s="167"/>
      <c r="Q34" s="169" t="s">
        <v>117</v>
      </c>
      <c r="R34" s="169"/>
      <c r="S34" s="169"/>
    </row>
    <row r="35" spans="1:22" ht="14.25">
      <c r="A35" s="149"/>
      <c r="B35" s="169"/>
      <c r="C35" s="169"/>
      <c r="D35" s="169"/>
      <c r="E35" s="169"/>
      <c r="F35" s="149"/>
      <c r="G35" s="149"/>
      <c r="H35" s="149"/>
      <c r="I35" s="149"/>
      <c r="J35" s="149"/>
      <c r="K35" s="149"/>
      <c r="L35" s="149"/>
      <c r="M35" s="149"/>
      <c r="N35" s="149"/>
      <c r="O35" s="166"/>
      <c r="P35" s="167"/>
      <c r="Q35" s="149"/>
      <c r="R35" s="149"/>
      <c r="S35" s="149"/>
      <c r="T35" s="149"/>
      <c r="U35" s="149"/>
      <c r="V35" s="169"/>
    </row>
    <row r="36" spans="1:22" ht="14.2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6"/>
      <c r="P36" s="167"/>
      <c r="Q36" s="149"/>
      <c r="R36" s="149"/>
      <c r="S36" s="169"/>
      <c r="T36" s="169"/>
      <c r="U36" s="169"/>
      <c r="V36" s="169"/>
    </row>
    <row r="37" spans="1:22" ht="14.2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66"/>
      <c r="P37" s="169"/>
      <c r="Q37" s="167"/>
      <c r="R37" s="149"/>
      <c r="S37" s="149"/>
      <c r="T37" s="149"/>
      <c r="U37" s="149"/>
      <c r="V37" s="149"/>
    </row>
    <row r="38" spans="1:22" ht="12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66"/>
      <c r="P38" s="167"/>
      <c r="Q38" s="149"/>
      <c r="R38" s="149"/>
      <c r="S38" s="149"/>
      <c r="T38" s="149"/>
      <c r="U38" s="149"/>
      <c r="V38" s="149"/>
    </row>
    <row r="39" spans="1:22" ht="14.2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66"/>
      <c r="P39" s="167"/>
      <c r="Q39" s="149"/>
      <c r="R39" s="149"/>
      <c r="S39" s="342"/>
      <c r="T39" s="342"/>
      <c r="U39" s="342"/>
      <c r="V39" s="342"/>
    </row>
  </sheetData>
  <mergeCells count="12">
    <mergeCell ref="A10:A12"/>
    <mergeCell ref="F10:F12"/>
    <mergeCell ref="B10:E12"/>
    <mergeCell ref="S39:V39"/>
    <mergeCell ref="G10:G12"/>
    <mergeCell ref="Q11:Q12"/>
    <mergeCell ref="R10:R12"/>
    <mergeCell ref="S10:S12"/>
    <mergeCell ref="O11:O12"/>
    <mergeCell ref="P11:P12"/>
    <mergeCell ref="H10:N10"/>
    <mergeCell ref="O10:Q10"/>
  </mergeCells>
  <printOptions horizontalCentered="1"/>
  <pageMargins left="0.23" right="0" top="0.19" bottom="0.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S1" sqref="S1"/>
    </sheetView>
  </sheetViews>
  <sheetFormatPr defaultColWidth="8.796875" defaultRowHeight="15"/>
  <cols>
    <col min="1" max="1" width="4.19921875" style="4" customWidth="1"/>
    <col min="2" max="2" width="17.59765625" style="4" customWidth="1"/>
    <col min="3" max="14" width="5.5" style="4" customWidth="1"/>
    <col min="15" max="15" width="7.19921875" style="4" customWidth="1"/>
    <col min="16" max="16" width="6.59765625" style="4" customWidth="1"/>
    <col min="17" max="17" width="10.59765625" style="4" customWidth="1"/>
    <col min="18" max="18" width="9" style="4" customWidth="1"/>
    <col min="19" max="19" width="9.59765625" style="4" customWidth="1"/>
    <col min="20" max="20" width="8" style="4" customWidth="1"/>
    <col min="21" max="21" width="10" style="4" customWidth="1"/>
    <col min="22" max="16384" width="8" style="4" customWidth="1"/>
  </cols>
  <sheetData>
    <row r="1" spans="1:22" ht="24.75" customHeight="1">
      <c r="A1" s="1">
        <v>4</v>
      </c>
      <c r="B1" s="1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38">
        <v>663</v>
      </c>
      <c r="T1" s="3"/>
      <c r="U1" s="3"/>
      <c r="V1" s="3"/>
    </row>
    <row r="2" spans="1:22" s="5" customFormat="1" ht="12" customHeight="1">
      <c r="A2" s="4"/>
      <c r="B2" s="147"/>
      <c r="C2" s="147"/>
      <c r="D2" s="147"/>
      <c r="E2" s="14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"/>
      <c r="S2" s="148" t="s">
        <v>0</v>
      </c>
      <c r="T2" s="4"/>
      <c r="U2" s="4"/>
      <c r="V2" s="4"/>
    </row>
    <row r="3" spans="1:22" s="5" customFormat="1" ht="12" customHeight="1">
      <c r="A3" s="314" t="s">
        <v>225</v>
      </c>
      <c r="B3" s="150"/>
      <c r="C3" s="150"/>
      <c r="D3" s="150"/>
      <c r="E3" s="150"/>
      <c r="F3" s="149" t="s">
        <v>1</v>
      </c>
      <c r="G3" s="151"/>
      <c r="H3" s="151"/>
      <c r="I3" s="151"/>
      <c r="J3" s="151"/>
      <c r="K3" s="151"/>
      <c r="L3" s="151"/>
      <c r="M3" s="151"/>
      <c r="N3" s="151"/>
      <c r="O3" s="151"/>
      <c r="P3" s="314" t="s">
        <v>2</v>
      </c>
      <c r="Q3" s="316"/>
      <c r="R3" s="4"/>
      <c r="S3" s="152"/>
      <c r="T3" s="4"/>
      <c r="U3" s="4"/>
      <c r="V3" s="4"/>
    </row>
    <row r="4" spans="1:22" s="5" customFormat="1" ht="12" customHeight="1">
      <c r="A4" s="314" t="s">
        <v>3</v>
      </c>
      <c r="B4" s="150"/>
      <c r="C4" s="150"/>
      <c r="D4" s="150"/>
      <c r="E4" s="150"/>
      <c r="F4" s="4"/>
      <c r="G4" s="4"/>
      <c r="H4" s="4"/>
      <c r="I4" s="4"/>
      <c r="J4" s="4"/>
      <c r="K4" s="4"/>
      <c r="L4" s="4"/>
      <c r="M4" s="4"/>
      <c r="N4" s="4"/>
      <c r="O4" s="316"/>
      <c r="P4" s="316"/>
      <c r="Q4" s="316"/>
      <c r="R4" s="4"/>
      <c r="S4" s="152"/>
      <c r="T4" s="4"/>
      <c r="U4" s="4"/>
      <c r="V4" s="4"/>
    </row>
    <row r="5" spans="1:22" s="5" customFormat="1" ht="12" customHeight="1">
      <c r="A5" s="314" t="s">
        <v>201</v>
      </c>
      <c r="B5" s="150"/>
      <c r="C5" s="150"/>
      <c r="D5" s="150"/>
      <c r="E5" s="150"/>
      <c r="F5" s="153"/>
      <c r="G5" s="4"/>
      <c r="H5" s="4"/>
      <c r="I5" s="4"/>
      <c r="J5" s="4"/>
      <c r="K5" s="4"/>
      <c r="L5" s="4"/>
      <c r="M5" s="4"/>
      <c r="N5" s="4"/>
      <c r="O5" s="151"/>
      <c r="P5" s="317"/>
      <c r="Q5" s="316"/>
      <c r="R5" s="4"/>
      <c r="S5" s="155" t="s">
        <v>4</v>
      </c>
      <c r="T5" s="4"/>
      <c r="U5" s="4"/>
      <c r="V5" s="4"/>
    </row>
    <row r="6" spans="1:22" s="5" customFormat="1" ht="12" customHeight="1">
      <c r="A6" s="314" t="s">
        <v>202</v>
      </c>
      <c r="B6" s="150"/>
      <c r="C6" s="150"/>
      <c r="D6" s="150"/>
      <c r="E6" s="150"/>
      <c r="F6" s="153"/>
      <c r="G6" s="4"/>
      <c r="H6" s="4"/>
      <c r="I6" s="4"/>
      <c r="J6" s="4"/>
      <c r="K6" s="4"/>
      <c r="L6" s="4"/>
      <c r="M6" s="4"/>
      <c r="N6" s="4"/>
      <c r="O6" s="151"/>
      <c r="P6" s="154"/>
      <c r="Q6" s="4"/>
      <c r="R6" s="4"/>
      <c r="S6" s="155"/>
      <c r="T6" s="4"/>
      <c r="U6" s="4"/>
      <c r="V6" s="4"/>
    </row>
    <row r="7" spans="1:22" s="5" customFormat="1" ht="12" customHeight="1">
      <c r="A7" s="315" t="s">
        <v>226</v>
      </c>
      <c r="B7" s="150"/>
      <c r="C7" s="150"/>
      <c r="D7" s="150"/>
      <c r="E7" s="150"/>
      <c r="F7" s="153"/>
      <c r="G7" s="4"/>
      <c r="H7" s="4"/>
      <c r="I7" s="4"/>
      <c r="J7" s="4"/>
      <c r="K7" s="4"/>
      <c r="L7" s="4"/>
      <c r="M7" s="4"/>
      <c r="N7" s="4"/>
      <c r="O7" s="4"/>
      <c r="P7" s="154"/>
      <c r="Q7" s="4"/>
      <c r="R7" s="4"/>
      <c r="S7" s="152"/>
      <c r="T7" s="4"/>
      <c r="U7" s="4"/>
      <c r="V7" s="4"/>
    </row>
    <row r="8" spans="1:22" s="5" customFormat="1" ht="12" customHeight="1">
      <c r="A8" s="314" t="s">
        <v>198</v>
      </c>
      <c r="B8" s="150"/>
      <c r="C8" s="150"/>
      <c r="D8" s="150"/>
      <c r="E8" s="150"/>
      <c r="F8" s="153"/>
      <c r="G8" s="151"/>
      <c r="H8" s="151"/>
      <c r="I8" s="151"/>
      <c r="J8" s="151"/>
      <c r="K8" s="151"/>
      <c r="L8" s="151"/>
      <c r="M8" s="151"/>
      <c r="N8" s="151"/>
      <c r="O8" s="151"/>
      <c r="P8" s="154"/>
      <c r="Q8" s="4"/>
      <c r="R8" s="4"/>
      <c r="S8" s="152"/>
      <c r="T8" s="4"/>
      <c r="U8" s="4"/>
      <c r="V8" s="4"/>
    </row>
    <row r="9" spans="1:22" s="5" customFormat="1" ht="20.25" customHeight="1">
      <c r="A9" s="157" t="s">
        <v>178</v>
      </c>
      <c r="B9" s="158"/>
      <c r="C9" s="158" t="str">
        <f>'DANH MUC NPL'!I9</f>
        <v>308A380</v>
      </c>
      <c r="D9" s="158"/>
      <c r="E9" s="158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1" t="s">
        <v>6</v>
      </c>
      <c r="Q9" s="162">
        <f>'DANH MUC NPL'!I10</f>
        <v>15766</v>
      </c>
      <c r="R9" s="142" t="s">
        <v>7</v>
      </c>
      <c r="S9" s="157"/>
      <c r="T9" s="4"/>
      <c r="U9" s="4"/>
      <c r="V9" s="4"/>
    </row>
    <row r="10" spans="1:22" s="5" customFormat="1" ht="12" customHeight="1">
      <c r="A10" s="353" t="s">
        <v>8</v>
      </c>
      <c r="B10" s="408" t="s">
        <v>9</v>
      </c>
      <c r="C10" s="409"/>
      <c r="D10" s="409"/>
      <c r="E10" s="410"/>
      <c r="F10" s="407" t="s">
        <v>10</v>
      </c>
      <c r="G10" s="393" t="s">
        <v>11</v>
      </c>
      <c r="H10" s="402" t="s">
        <v>194</v>
      </c>
      <c r="I10" s="403"/>
      <c r="J10" s="403"/>
      <c r="K10" s="403"/>
      <c r="L10" s="403"/>
      <c r="M10" s="403"/>
      <c r="N10" s="404"/>
      <c r="O10" s="405" t="s">
        <v>12</v>
      </c>
      <c r="P10" s="406"/>
      <c r="Q10" s="406"/>
      <c r="R10" s="397" t="s">
        <v>13</v>
      </c>
      <c r="S10" s="397" t="s">
        <v>253</v>
      </c>
      <c r="T10" s="4"/>
      <c r="U10" s="4"/>
      <c r="V10" s="4"/>
    </row>
    <row r="11" spans="1:22" s="5" customFormat="1" ht="12" customHeight="1">
      <c r="A11" s="354"/>
      <c r="B11" s="411"/>
      <c r="C11" s="412"/>
      <c r="D11" s="412"/>
      <c r="E11" s="413"/>
      <c r="F11" s="394"/>
      <c r="G11" s="394"/>
      <c r="H11" s="294">
        <v>7</v>
      </c>
      <c r="I11" s="294">
        <v>8</v>
      </c>
      <c r="J11" s="294">
        <v>10</v>
      </c>
      <c r="K11" s="295">
        <v>12</v>
      </c>
      <c r="L11" s="294">
        <v>14</v>
      </c>
      <c r="M11" s="294">
        <v>16</v>
      </c>
      <c r="N11" s="294"/>
      <c r="O11" s="398" t="s">
        <v>214</v>
      </c>
      <c r="P11" s="400" t="s">
        <v>200</v>
      </c>
      <c r="Q11" s="395" t="s">
        <v>195</v>
      </c>
      <c r="R11" s="397"/>
      <c r="S11" s="397"/>
      <c r="T11" s="4"/>
      <c r="U11" s="4"/>
      <c r="V11" s="4"/>
    </row>
    <row r="12" spans="1:22" s="5" customFormat="1" ht="12" customHeight="1">
      <c r="A12" s="355"/>
      <c r="B12" s="414"/>
      <c r="C12" s="415"/>
      <c r="D12" s="415"/>
      <c r="E12" s="416"/>
      <c r="F12" s="394"/>
      <c r="G12" s="394"/>
      <c r="H12" s="296">
        <v>2595</v>
      </c>
      <c r="I12" s="296">
        <v>2595</v>
      </c>
      <c r="J12" s="296">
        <v>3894</v>
      </c>
      <c r="K12" s="297">
        <v>2693</v>
      </c>
      <c r="L12" s="296">
        <v>2595</v>
      </c>
      <c r="M12" s="296">
        <v>1394</v>
      </c>
      <c r="N12" s="296"/>
      <c r="O12" s="399"/>
      <c r="P12" s="401"/>
      <c r="Q12" s="396"/>
      <c r="R12" s="397"/>
      <c r="S12" s="397"/>
      <c r="T12" s="4"/>
      <c r="U12" s="313">
        <f>SUM(H12:N12)</f>
        <v>15766</v>
      </c>
      <c r="V12" s="4"/>
    </row>
    <row r="13" spans="1:22" s="5" customFormat="1" ht="12.75" customHeight="1">
      <c r="A13" s="163">
        <v>1</v>
      </c>
      <c r="B13" s="49" t="s">
        <v>22</v>
      </c>
      <c r="C13" s="267"/>
      <c r="D13" s="267"/>
      <c r="E13" s="188"/>
      <c r="F13" s="272" t="s">
        <v>23</v>
      </c>
      <c r="G13" s="281" t="s">
        <v>243</v>
      </c>
      <c r="H13" s="277">
        <f>K13*0.97</f>
        <v>1.54812</v>
      </c>
      <c r="I13" s="277">
        <f>K13*0.98</f>
        <v>1.5640800000000001</v>
      </c>
      <c r="J13" s="277">
        <f>K13*0.99</f>
        <v>1.5800400000000001</v>
      </c>
      <c r="K13" s="277">
        <v>1.596</v>
      </c>
      <c r="L13" s="277">
        <f>K13*1.01</f>
        <v>1.61196</v>
      </c>
      <c r="M13" s="277">
        <f>K13*1.02</f>
        <v>1.62792</v>
      </c>
      <c r="N13" s="277"/>
      <c r="O13" s="282">
        <f>'DANH MUC NPL'!I14</f>
        <v>1.584</v>
      </c>
      <c r="P13" s="283">
        <v>0.03</v>
      </c>
      <c r="Q13" s="284">
        <f aca="true" t="shared" si="0" ref="Q13:Q27">O13*1.03*$Q$9</f>
        <v>25722.54432</v>
      </c>
      <c r="R13" s="285" t="s">
        <v>19</v>
      </c>
      <c r="S13" s="286"/>
      <c r="T13" s="4"/>
      <c r="U13" s="216">
        <f>(H13*$H$12+I13*$I$12+J13*$J$12+K13*$K$12+L13*$L$12+M13*$M$12+N13*$N$12)/$Q$9</f>
        <v>1.584372665228974</v>
      </c>
      <c r="V13" s="4"/>
    </row>
    <row r="14" spans="1:22" s="5" customFormat="1" ht="12.75" customHeight="1">
      <c r="A14" s="163">
        <v>2</v>
      </c>
      <c r="B14" s="49" t="s">
        <v>48</v>
      </c>
      <c r="C14" s="268"/>
      <c r="D14" s="268"/>
      <c r="E14" s="214"/>
      <c r="F14" s="272" t="s">
        <v>49</v>
      </c>
      <c r="G14" s="281" t="s">
        <v>165</v>
      </c>
      <c r="H14" s="277">
        <f>K14*0.97</f>
        <v>284.695</v>
      </c>
      <c r="I14" s="277">
        <f>K14*0.98</f>
        <v>287.63</v>
      </c>
      <c r="J14" s="277">
        <f>K14*0.99</f>
        <v>290.565</v>
      </c>
      <c r="K14" s="277">
        <v>293.5</v>
      </c>
      <c r="L14" s="277">
        <f>K14*1.01</f>
        <v>296.435</v>
      </c>
      <c r="M14" s="277">
        <f>K14*1.02</f>
        <v>299.37</v>
      </c>
      <c r="N14" s="277"/>
      <c r="O14" s="282">
        <f>'DANH MUC NPL'!I27</f>
        <v>291.362</v>
      </c>
      <c r="P14" s="283">
        <v>0.03</v>
      </c>
      <c r="Q14" s="284">
        <f t="shared" si="0"/>
        <v>4731421.690760001</v>
      </c>
      <c r="R14" s="287" t="s">
        <v>172</v>
      </c>
      <c r="S14" s="325">
        <f>Q14</f>
        <v>4731421.690760001</v>
      </c>
      <c r="T14" s="4"/>
      <c r="U14" s="216">
        <f aca="true" t="shared" si="1" ref="U14:U19">(H14*$H$12+I14*$I$12+J14*$J$12+K14*$K$12+L14*$L$12+M14*$M$12+N14*$N$12)/$Q$9</f>
        <v>291.3617651909172</v>
      </c>
      <c r="V14" s="4"/>
    </row>
    <row r="15" spans="1:22" s="5" customFormat="1" ht="12.75" customHeight="1">
      <c r="A15" s="163">
        <v>3</v>
      </c>
      <c r="B15" s="49" t="s">
        <v>50</v>
      </c>
      <c r="C15" s="268"/>
      <c r="D15" s="268"/>
      <c r="E15" s="214"/>
      <c r="F15" s="272" t="s">
        <v>51</v>
      </c>
      <c r="G15" s="281" t="s">
        <v>167</v>
      </c>
      <c r="H15" s="279">
        <f aca="true" t="shared" si="2" ref="H15:M15">$O$15</f>
        <v>1</v>
      </c>
      <c r="I15" s="279">
        <f t="shared" si="2"/>
        <v>1</v>
      </c>
      <c r="J15" s="279">
        <f t="shared" si="2"/>
        <v>1</v>
      </c>
      <c r="K15" s="279">
        <f t="shared" si="2"/>
        <v>1</v>
      </c>
      <c r="L15" s="279">
        <f t="shared" si="2"/>
        <v>1</v>
      </c>
      <c r="M15" s="279">
        <f t="shared" si="2"/>
        <v>1</v>
      </c>
      <c r="N15" s="279"/>
      <c r="O15" s="282">
        <f>'DANH MUC NPL'!I28</f>
        <v>1</v>
      </c>
      <c r="P15" s="283">
        <v>0.03</v>
      </c>
      <c r="Q15" s="284">
        <f t="shared" si="0"/>
        <v>16238.98</v>
      </c>
      <c r="R15" s="285" t="s">
        <v>19</v>
      </c>
      <c r="S15" s="288"/>
      <c r="T15" s="4"/>
      <c r="U15" s="215">
        <f t="shared" si="1"/>
        <v>1</v>
      </c>
      <c r="V15" s="4"/>
    </row>
    <row r="16" spans="1:22" s="5" customFormat="1" ht="12.75" customHeight="1">
      <c r="A16" s="163">
        <v>4</v>
      </c>
      <c r="B16" s="49" t="s">
        <v>65</v>
      </c>
      <c r="C16" s="268"/>
      <c r="D16" s="268"/>
      <c r="E16" s="214"/>
      <c r="F16" s="272" t="s">
        <v>66</v>
      </c>
      <c r="G16" s="281" t="s">
        <v>167</v>
      </c>
      <c r="H16" s="279">
        <f aca="true" t="shared" si="3" ref="H16:M16">$O$16</f>
        <v>5</v>
      </c>
      <c r="I16" s="279">
        <f t="shared" si="3"/>
        <v>5</v>
      </c>
      <c r="J16" s="279">
        <f t="shared" si="3"/>
        <v>5</v>
      </c>
      <c r="K16" s="279">
        <f t="shared" si="3"/>
        <v>5</v>
      </c>
      <c r="L16" s="279">
        <f t="shared" si="3"/>
        <v>5</v>
      </c>
      <c r="M16" s="279">
        <f t="shared" si="3"/>
        <v>5</v>
      </c>
      <c r="N16" s="279"/>
      <c r="O16" s="282">
        <f>'DANH MUC NPL'!I35</f>
        <v>5</v>
      </c>
      <c r="P16" s="283">
        <v>0.03</v>
      </c>
      <c r="Q16" s="284">
        <f t="shared" si="0"/>
        <v>81194.90000000001</v>
      </c>
      <c r="R16" s="287" t="s">
        <v>172</v>
      </c>
      <c r="S16" s="325">
        <f>Q16</f>
        <v>81194.90000000001</v>
      </c>
      <c r="T16" s="4"/>
      <c r="U16" s="215">
        <f t="shared" si="1"/>
        <v>5</v>
      </c>
      <c r="V16" s="4"/>
    </row>
    <row r="17" spans="1:22" s="5" customFormat="1" ht="12.75" customHeight="1">
      <c r="A17" s="163">
        <v>5</v>
      </c>
      <c r="B17" s="49" t="s">
        <v>73</v>
      </c>
      <c r="C17" s="268"/>
      <c r="D17" s="268"/>
      <c r="E17" s="214"/>
      <c r="F17" s="272" t="s">
        <v>74</v>
      </c>
      <c r="G17" s="281" t="s">
        <v>167</v>
      </c>
      <c r="H17" s="279">
        <f aca="true" t="shared" si="4" ref="H17:M17">$O$17</f>
        <v>1</v>
      </c>
      <c r="I17" s="279">
        <f t="shared" si="4"/>
        <v>1</v>
      </c>
      <c r="J17" s="279">
        <f t="shared" si="4"/>
        <v>1</v>
      </c>
      <c r="K17" s="279">
        <f t="shared" si="4"/>
        <v>1</v>
      </c>
      <c r="L17" s="279">
        <f t="shared" si="4"/>
        <v>1</v>
      </c>
      <c r="M17" s="279">
        <f t="shared" si="4"/>
        <v>1</v>
      </c>
      <c r="N17" s="279"/>
      <c r="O17" s="282">
        <f>'DANH MUC NPL'!I39</f>
        <v>1</v>
      </c>
      <c r="P17" s="283">
        <v>0</v>
      </c>
      <c r="Q17" s="284">
        <f t="shared" si="0"/>
        <v>16238.98</v>
      </c>
      <c r="R17" s="287" t="s">
        <v>172</v>
      </c>
      <c r="S17" s="325">
        <f>Q17</f>
        <v>16238.98</v>
      </c>
      <c r="T17" s="4"/>
      <c r="U17" s="215">
        <f t="shared" si="1"/>
        <v>1</v>
      </c>
      <c r="V17" s="4"/>
    </row>
    <row r="18" spans="1:22" s="5" customFormat="1" ht="12.75" customHeight="1">
      <c r="A18" s="163">
        <v>6</v>
      </c>
      <c r="B18" s="49" t="s">
        <v>75</v>
      </c>
      <c r="C18" s="268"/>
      <c r="D18" s="268"/>
      <c r="E18" s="214"/>
      <c r="F18" s="272" t="s">
        <v>76</v>
      </c>
      <c r="G18" s="281" t="s">
        <v>167</v>
      </c>
      <c r="H18" s="279">
        <f aca="true" t="shared" si="5" ref="H18:M18">$O$18</f>
        <v>1</v>
      </c>
      <c r="I18" s="279">
        <f t="shared" si="5"/>
        <v>1</v>
      </c>
      <c r="J18" s="279">
        <f t="shared" si="5"/>
        <v>1</v>
      </c>
      <c r="K18" s="279">
        <f t="shared" si="5"/>
        <v>1</v>
      </c>
      <c r="L18" s="279">
        <f t="shared" si="5"/>
        <v>1</v>
      </c>
      <c r="M18" s="279">
        <f t="shared" si="5"/>
        <v>1</v>
      </c>
      <c r="N18" s="279"/>
      <c r="O18" s="282">
        <f>'DANH MUC NPL'!I40</f>
        <v>1</v>
      </c>
      <c r="P18" s="283">
        <v>0.03</v>
      </c>
      <c r="Q18" s="284">
        <f t="shared" si="0"/>
        <v>16238.98</v>
      </c>
      <c r="R18" s="285" t="s">
        <v>19</v>
      </c>
      <c r="S18" s="288"/>
      <c r="T18" s="4"/>
      <c r="U18" s="215">
        <f t="shared" si="1"/>
        <v>1</v>
      </c>
      <c r="V18" s="4"/>
    </row>
    <row r="19" spans="1:22" s="5" customFormat="1" ht="12.75" customHeight="1">
      <c r="A19" s="163">
        <v>7</v>
      </c>
      <c r="B19" s="49" t="s">
        <v>242</v>
      </c>
      <c r="C19" s="268"/>
      <c r="D19" s="268"/>
      <c r="E19" s="214"/>
      <c r="F19" s="272" t="s">
        <v>78</v>
      </c>
      <c r="G19" s="281" t="s">
        <v>167</v>
      </c>
      <c r="H19" s="279">
        <f aca="true" t="shared" si="6" ref="H19:M19">$O$19</f>
        <v>2</v>
      </c>
      <c r="I19" s="279">
        <f t="shared" si="6"/>
        <v>2</v>
      </c>
      <c r="J19" s="279">
        <f t="shared" si="6"/>
        <v>2</v>
      </c>
      <c r="K19" s="279">
        <f t="shared" si="6"/>
        <v>2</v>
      </c>
      <c r="L19" s="279">
        <f t="shared" si="6"/>
        <v>2</v>
      </c>
      <c r="M19" s="279">
        <f t="shared" si="6"/>
        <v>2</v>
      </c>
      <c r="N19" s="279"/>
      <c r="O19" s="282">
        <f>'DANH MUC NPL'!I41</f>
        <v>2</v>
      </c>
      <c r="P19" s="283">
        <v>0.03</v>
      </c>
      <c r="Q19" s="284">
        <f t="shared" si="0"/>
        <v>32477.96</v>
      </c>
      <c r="R19" s="285" t="s">
        <v>19</v>
      </c>
      <c r="S19" s="288"/>
      <c r="T19" s="4"/>
      <c r="U19" s="215">
        <f t="shared" si="1"/>
        <v>2</v>
      </c>
      <c r="V19" s="4"/>
    </row>
    <row r="20" spans="1:22" s="5" customFormat="1" ht="12.75" customHeight="1">
      <c r="A20" s="163">
        <v>8</v>
      </c>
      <c r="B20" s="49" t="s">
        <v>87</v>
      </c>
      <c r="C20" s="268"/>
      <c r="D20" s="268"/>
      <c r="E20" s="214"/>
      <c r="F20" s="272" t="s">
        <v>88</v>
      </c>
      <c r="G20" s="281" t="s">
        <v>167</v>
      </c>
      <c r="H20" s="279">
        <f aca="true" t="shared" si="7" ref="H20:M20">$O$20</f>
        <v>1</v>
      </c>
      <c r="I20" s="279">
        <f t="shared" si="7"/>
        <v>1</v>
      </c>
      <c r="J20" s="279">
        <f t="shared" si="7"/>
        <v>1</v>
      </c>
      <c r="K20" s="279">
        <f t="shared" si="7"/>
        <v>1</v>
      </c>
      <c r="L20" s="279">
        <f t="shared" si="7"/>
        <v>1</v>
      </c>
      <c r="M20" s="279">
        <f t="shared" si="7"/>
        <v>1</v>
      </c>
      <c r="N20" s="279"/>
      <c r="O20" s="282">
        <f>'DANH MUC NPL'!I46</f>
        <v>1</v>
      </c>
      <c r="P20" s="283">
        <v>0.03</v>
      </c>
      <c r="Q20" s="284">
        <f t="shared" si="0"/>
        <v>16238.98</v>
      </c>
      <c r="R20" s="287" t="s">
        <v>172</v>
      </c>
      <c r="S20" s="325">
        <f>Q20</f>
        <v>16238.98</v>
      </c>
      <c r="T20" s="4"/>
      <c r="U20" s="215">
        <f aca="true" t="shared" si="8" ref="U20:U27">(H20*$H$12+I20*$I$12+J20*$J$12+K20*$K$12+L20*$L$12+M20*$M$12+N20*$N$12)/$Q$9</f>
        <v>1</v>
      </c>
      <c r="V20" s="4"/>
    </row>
    <row r="21" spans="1:22" s="5" customFormat="1" ht="12.75" customHeight="1">
      <c r="A21" s="163">
        <v>9</v>
      </c>
      <c r="B21" s="49" t="s">
        <v>89</v>
      </c>
      <c r="C21" s="268"/>
      <c r="D21" s="268"/>
      <c r="E21" s="214"/>
      <c r="F21" s="272" t="s">
        <v>90</v>
      </c>
      <c r="G21" s="281" t="s">
        <v>167</v>
      </c>
      <c r="H21" s="279">
        <f aca="true" t="shared" si="9" ref="H21:M21">$O$21</f>
        <v>1</v>
      </c>
      <c r="I21" s="279">
        <f t="shared" si="9"/>
        <v>1</v>
      </c>
      <c r="J21" s="279">
        <f t="shared" si="9"/>
        <v>1</v>
      </c>
      <c r="K21" s="279">
        <f t="shared" si="9"/>
        <v>1</v>
      </c>
      <c r="L21" s="279">
        <f t="shared" si="9"/>
        <v>1</v>
      </c>
      <c r="M21" s="279">
        <f t="shared" si="9"/>
        <v>1</v>
      </c>
      <c r="N21" s="279"/>
      <c r="O21" s="282">
        <f>'DANH MUC NPL'!I47</f>
        <v>1</v>
      </c>
      <c r="P21" s="283">
        <v>0.03</v>
      </c>
      <c r="Q21" s="284">
        <f t="shared" si="0"/>
        <v>16238.98</v>
      </c>
      <c r="R21" s="287" t="s">
        <v>172</v>
      </c>
      <c r="S21" s="325">
        <f>Q21</f>
        <v>16238.98</v>
      </c>
      <c r="T21" s="4"/>
      <c r="U21" s="215">
        <f t="shared" si="8"/>
        <v>1</v>
      </c>
      <c r="V21" s="4"/>
    </row>
    <row r="22" spans="1:22" s="5" customFormat="1" ht="12.75" customHeight="1">
      <c r="A22" s="163">
        <v>10</v>
      </c>
      <c r="B22" s="49" t="s">
        <v>95</v>
      </c>
      <c r="C22" s="268"/>
      <c r="D22" s="268"/>
      <c r="E22" s="214"/>
      <c r="F22" s="272" t="s">
        <v>96</v>
      </c>
      <c r="G22" s="281" t="s">
        <v>167</v>
      </c>
      <c r="H22" s="279">
        <f aca="true" t="shared" si="10" ref="H22:M22">$O$22</f>
        <v>1</v>
      </c>
      <c r="I22" s="279">
        <f t="shared" si="10"/>
        <v>1</v>
      </c>
      <c r="J22" s="279">
        <f t="shared" si="10"/>
        <v>1</v>
      </c>
      <c r="K22" s="279">
        <f t="shared" si="10"/>
        <v>1</v>
      </c>
      <c r="L22" s="279">
        <f t="shared" si="10"/>
        <v>1</v>
      </c>
      <c r="M22" s="279">
        <f t="shared" si="10"/>
        <v>1</v>
      </c>
      <c r="N22" s="279"/>
      <c r="O22" s="282">
        <f>'DANH MUC NPL'!I50</f>
        <v>1</v>
      </c>
      <c r="P22" s="283">
        <v>0.03</v>
      </c>
      <c r="Q22" s="284">
        <f t="shared" si="0"/>
        <v>16238.98</v>
      </c>
      <c r="R22" s="285" t="s">
        <v>19</v>
      </c>
      <c r="S22" s="288"/>
      <c r="T22" s="4"/>
      <c r="U22" s="215">
        <f t="shared" si="8"/>
        <v>1</v>
      </c>
      <c r="V22" s="4"/>
    </row>
    <row r="23" spans="1:22" s="5" customFormat="1" ht="12.75" customHeight="1">
      <c r="A23" s="163">
        <v>11</v>
      </c>
      <c r="B23" s="49" t="s">
        <v>99</v>
      </c>
      <c r="C23" s="268"/>
      <c r="D23" s="268"/>
      <c r="E23" s="214"/>
      <c r="F23" s="272" t="s">
        <v>100</v>
      </c>
      <c r="G23" s="281" t="s">
        <v>167</v>
      </c>
      <c r="H23" s="280">
        <f aca="true" t="shared" si="11" ref="H23:M23">$O$23</f>
        <v>0.084</v>
      </c>
      <c r="I23" s="280">
        <f t="shared" si="11"/>
        <v>0.084</v>
      </c>
      <c r="J23" s="280">
        <f t="shared" si="11"/>
        <v>0.084</v>
      </c>
      <c r="K23" s="280">
        <f t="shared" si="11"/>
        <v>0.084</v>
      </c>
      <c r="L23" s="280">
        <f t="shared" si="11"/>
        <v>0.084</v>
      </c>
      <c r="M23" s="280">
        <f t="shared" si="11"/>
        <v>0.084</v>
      </c>
      <c r="N23" s="280"/>
      <c r="O23" s="282">
        <f>'DANH MUC NPL'!I52</f>
        <v>0.084</v>
      </c>
      <c r="P23" s="283">
        <v>0.03</v>
      </c>
      <c r="Q23" s="284">
        <f t="shared" si="0"/>
        <v>1364.0743200000002</v>
      </c>
      <c r="R23" s="287" t="s">
        <v>172</v>
      </c>
      <c r="S23" s="325">
        <f>Q23</f>
        <v>1364.0743200000002</v>
      </c>
      <c r="T23" s="4"/>
      <c r="U23" s="215">
        <f t="shared" si="8"/>
        <v>0.084</v>
      </c>
      <c r="V23" s="4"/>
    </row>
    <row r="24" spans="1:22" s="5" customFormat="1" ht="12.75" customHeight="1">
      <c r="A24" s="163">
        <v>12</v>
      </c>
      <c r="B24" s="49" t="s">
        <v>101</v>
      </c>
      <c r="C24" s="268"/>
      <c r="D24" s="268"/>
      <c r="E24" s="214"/>
      <c r="F24" s="272" t="s">
        <v>102</v>
      </c>
      <c r="G24" s="281" t="s">
        <v>167</v>
      </c>
      <c r="H24" s="279">
        <f aca="true" t="shared" si="12" ref="H24:M24">$O$24</f>
        <v>1</v>
      </c>
      <c r="I24" s="279">
        <f t="shared" si="12"/>
        <v>1</v>
      </c>
      <c r="J24" s="279">
        <f t="shared" si="12"/>
        <v>1</v>
      </c>
      <c r="K24" s="279">
        <f t="shared" si="12"/>
        <v>1</v>
      </c>
      <c r="L24" s="279">
        <f t="shared" si="12"/>
        <v>1</v>
      </c>
      <c r="M24" s="279">
        <f t="shared" si="12"/>
        <v>1</v>
      </c>
      <c r="N24" s="279"/>
      <c r="O24" s="282">
        <f>'DANH MUC NPL'!I53</f>
        <v>1</v>
      </c>
      <c r="P24" s="283">
        <v>0.03</v>
      </c>
      <c r="Q24" s="284">
        <f>O24*1.03*$Q$9</f>
        <v>16238.98</v>
      </c>
      <c r="R24" s="285" t="s">
        <v>19</v>
      </c>
      <c r="S24" s="288"/>
      <c r="T24" s="4"/>
      <c r="U24" s="215">
        <f>(H24*$H$12+I24*$I$12+J24*$J$12+K24*$K$12+L24*$L$12+M24*$M$12+N24*$N$12)/$Q$9</f>
        <v>1</v>
      </c>
      <c r="V24" s="4"/>
    </row>
    <row r="25" spans="1:22" s="5" customFormat="1" ht="12.75" customHeight="1">
      <c r="A25" s="163">
        <v>13</v>
      </c>
      <c r="B25" s="49" t="s">
        <v>103</v>
      </c>
      <c r="C25" s="268"/>
      <c r="D25" s="268"/>
      <c r="E25" s="214"/>
      <c r="F25" s="272" t="s">
        <v>104</v>
      </c>
      <c r="G25" s="281" t="s">
        <v>167</v>
      </c>
      <c r="H25" s="279">
        <v>6</v>
      </c>
      <c r="I25" s="279">
        <v>6</v>
      </c>
      <c r="J25" s="279">
        <v>6</v>
      </c>
      <c r="K25" s="279">
        <v>6</v>
      </c>
      <c r="L25" s="279">
        <v>6</v>
      </c>
      <c r="M25" s="279">
        <v>6</v>
      </c>
      <c r="N25" s="279"/>
      <c r="O25" s="282">
        <f>'DANH MUC NPL'!I54</f>
        <v>6</v>
      </c>
      <c r="P25" s="283">
        <v>0.03</v>
      </c>
      <c r="Q25" s="284">
        <f>O25*1.03*$Q$9</f>
        <v>97433.87999999999</v>
      </c>
      <c r="R25" s="285" t="s">
        <v>19</v>
      </c>
      <c r="S25" s="288"/>
      <c r="T25" s="4"/>
      <c r="U25" s="215">
        <f t="shared" si="8"/>
        <v>6</v>
      </c>
      <c r="V25" s="4"/>
    </row>
    <row r="26" spans="1:22" s="5" customFormat="1" ht="12.75" customHeight="1">
      <c r="A26" s="163">
        <v>14</v>
      </c>
      <c r="B26" s="55" t="s">
        <v>105</v>
      </c>
      <c r="C26" s="268"/>
      <c r="D26" s="268"/>
      <c r="E26" s="214"/>
      <c r="F26" s="272" t="s">
        <v>106</v>
      </c>
      <c r="G26" s="281" t="s">
        <v>170</v>
      </c>
      <c r="H26" s="277">
        <f>K26*0.97</f>
        <v>0.0077599999999999995</v>
      </c>
      <c r="I26" s="277">
        <f>K26*0.98</f>
        <v>0.00784</v>
      </c>
      <c r="J26" s="277">
        <f>K26*0.99</f>
        <v>0.00792</v>
      </c>
      <c r="K26" s="277">
        <v>0.008</v>
      </c>
      <c r="L26" s="277">
        <f>K26*1.01</f>
        <v>0.00808</v>
      </c>
      <c r="M26" s="277">
        <f>K26*1.02</f>
        <v>0.00816</v>
      </c>
      <c r="N26" s="277"/>
      <c r="O26" s="282">
        <f>'DANH MUC NPL'!I55</f>
        <v>0.008</v>
      </c>
      <c r="P26" s="283">
        <v>0.03</v>
      </c>
      <c r="Q26" s="284">
        <f>O26*1.03*$Q$9</f>
        <v>129.91184</v>
      </c>
      <c r="R26" s="285" t="s">
        <v>19</v>
      </c>
      <c r="S26" s="288"/>
      <c r="T26" s="4"/>
      <c r="U26" s="216">
        <f t="shared" si="8"/>
        <v>0.007941717620195358</v>
      </c>
      <c r="V26" s="4"/>
    </row>
    <row r="27" spans="1:22" s="5" customFormat="1" ht="12.75" customHeight="1">
      <c r="A27" s="163">
        <v>15</v>
      </c>
      <c r="B27" s="55" t="s">
        <v>107</v>
      </c>
      <c r="C27" s="268"/>
      <c r="D27" s="268"/>
      <c r="E27" s="214"/>
      <c r="F27" s="272" t="s">
        <v>108</v>
      </c>
      <c r="G27" s="281" t="s">
        <v>245</v>
      </c>
      <c r="H27" s="277">
        <f>K27*0.97</f>
        <v>0.78376</v>
      </c>
      <c r="I27" s="277">
        <f>K27*0.98</f>
        <v>0.79184</v>
      </c>
      <c r="J27" s="277">
        <f>K27*0.99</f>
        <v>0.7999200000000001</v>
      </c>
      <c r="K27" s="277">
        <v>0.808</v>
      </c>
      <c r="L27" s="277">
        <f>K27*1.01</f>
        <v>0.81608</v>
      </c>
      <c r="M27" s="277">
        <f>K27*1.02</f>
        <v>0.8241600000000001</v>
      </c>
      <c r="N27" s="277"/>
      <c r="O27" s="282">
        <f>'DANH MUC NPL'!I56</f>
        <v>0.802</v>
      </c>
      <c r="P27" s="283">
        <v>0.03</v>
      </c>
      <c r="Q27" s="284">
        <f t="shared" si="0"/>
        <v>13023.66196</v>
      </c>
      <c r="R27" s="285" t="s">
        <v>19</v>
      </c>
      <c r="S27" s="288"/>
      <c r="T27" s="4"/>
      <c r="U27" s="216">
        <f t="shared" si="8"/>
        <v>0.802113479639731</v>
      </c>
      <c r="V27" s="4"/>
    </row>
    <row r="28" spans="1:19" ht="11.25" customHeight="1">
      <c r="A28" s="37"/>
      <c r="B28" s="37"/>
      <c r="C28" s="37"/>
      <c r="D28" s="37"/>
      <c r="E28" s="37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</row>
    <row r="29" spans="2:19" ht="12" customHeight="1">
      <c r="B29" s="194" t="s">
        <v>206</v>
      </c>
      <c r="C29" s="290">
        <f>$H$11</f>
        <v>7</v>
      </c>
      <c r="D29" s="290">
        <f>$I$11</f>
        <v>8</v>
      </c>
      <c r="E29" s="290">
        <f>$J$11</f>
        <v>10</v>
      </c>
      <c r="F29" s="290">
        <f>$K$11</f>
        <v>12</v>
      </c>
      <c r="G29" s="290">
        <f>$L$11</f>
        <v>14</v>
      </c>
      <c r="H29" s="290">
        <f>$M$11</f>
        <v>16</v>
      </c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2:19" ht="12" customHeight="1">
      <c r="B30" s="191" t="s">
        <v>203</v>
      </c>
      <c r="C30" s="291">
        <f>$H$12</f>
        <v>2595</v>
      </c>
      <c r="D30" s="291">
        <f>$I$12</f>
        <v>2595</v>
      </c>
      <c r="E30" s="291">
        <f>$J$12</f>
        <v>3894</v>
      </c>
      <c r="F30" s="291">
        <f>$K$12</f>
        <v>2693</v>
      </c>
      <c r="G30" s="291">
        <f>$L$12</f>
        <v>2595</v>
      </c>
      <c r="H30" s="291">
        <f>$M$12</f>
        <v>1394</v>
      </c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2:19" ht="12" customHeight="1">
      <c r="B31" s="191" t="s">
        <v>228</v>
      </c>
      <c r="C31" s="292" t="s">
        <v>237</v>
      </c>
      <c r="D31" s="292" t="s">
        <v>238</v>
      </c>
      <c r="E31" s="292" t="s">
        <v>239</v>
      </c>
      <c r="F31" s="293" t="s">
        <v>230</v>
      </c>
      <c r="G31" s="293" t="s">
        <v>240</v>
      </c>
      <c r="H31" s="293" t="s">
        <v>241</v>
      </c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2:19" ht="12" customHeight="1">
      <c r="B32" s="191" t="s">
        <v>229</v>
      </c>
      <c r="C32" s="292" t="s">
        <v>234</v>
      </c>
      <c r="D32" s="292" t="s">
        <v>235</v>
      </c>
      <c r="E32" s="292" t="s">
        <v>236</v>
      </c>
      <c r="F32" s="293" t="s">
        <v>231</v>
      </c>
      <c r="G32" s="293" t="s">
        <v>232</v>
      </c>
      <c r="H32" s="293" t="s">
        <v>233</v>
      </c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22" ht="15" customHeight="1">
      <c r="A33" s="149" t="s">
        <v>112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66"/>
      <c r="P33" s="167"/>
      <c r="Q33" s="149"/>
      <c r="R33" s="149"/>
      <c r="S33" s="149"/>
      <c r="T33" s="149"/>
      <c r="U33" s="149"/>
      <c r="V33" s="149"/>
    </row>
    <row r="34" spans="1:19" ht="15.75" customHeight="1">
      <c r="A34" s="149"/>
      <c r="B34" s="168" t="s">
        <v>113</v>
      </c>
      <c r="C34" s="169"/>
      <c r="D34" s="169"/>
      <c r="E34" s="169"/>
      <c r="F34" s="149"/>
      <c r="G34" s="149"/>
      <c r="H34" s="149"/>
      <c r="I34" s="149"/>
      <c r="J34" s="149"/>
      <c r="K34" s="149"/>
      <c r="L34" s="149"/>
      <c r="M34" s="149"/>
      <c r="N34" s="149"/>
      <c r="O34" s="170"/>
      <c r="P34" s="167"/>
      <c r="Q34" s="169" t="s">
        <v>113</v>
      </c>
      <c r="R34" s="169"/>
      <c r="S34" s="169"/>
    </row>
    <row r="35" spans="1:19" ht="14.25">
      <c r="A35" s="149"/>
      <c r="B35" s="168" t="s">
        <v>114</v>
      </c>
      <c r="C35" s="169"/>
      <c r="D35" s="169"/>
      <c r="E35" s="169"/>
      <c r="F35" s="149"/>
      <c r="G35" s="149"/>
      <c r="H35" s="149"/>
      <c r="I35" s="149"/>
      <c r="J35" s="149"/>
      <c r="K35" s="149"/>
      <c r="L35" s="149"/>
      <c r="M35" s="149"/>
      <c r="N35" s="149"/>
      <c r="O35" s="166"/>
      <c r="P35" s="167"/>
      <c r="Q35" s="169" t="s">
        <v>115</v>
      </c>
      <c r="R35" s="169"/>
      <c r="S35" s="169"/>
    </row>
    <row r="36" spans="1:19" ht="14.25">
      <c r="A36" s="149"/>
      <c r="B36" s="149" t="s">
        <v>116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6"/>
      <c r="P36" s="167"/>
      <c r="Q36" s="169" t="s">
        <v>117</v>
      </c>
      <c r="R36" s="169"/>
      <c r="S36" s="169"/>
    </row>
    <row r="37" spans="1:22" ht="14.25">
      <c r="A37" s="149"/>
      <c r="B37" s="169"/>
      <c r="C37" s="169"/>
      <c r="D37" s="169"/>
      <c r="E37" s="169"/>
      <c r="F37" s="149"/>
      <c r="G37" s="149"/>
      <c r="H37" s="149"/>
      <c r="I37" s="149"/>
      <c r="J37" s="149"/>
      <c r="K37" s="149"/>
      <c r="L37" s="149"/>
      <c r="M37" s="149"/>
      <c r="N37" s="149"/>
      <c r="O37" s="166"/>
      <c r="P37" s="167"/>
      <c r="Q37" s="149"/>
      <c r="R37" s="149"/>
      <c r="S37" s="149"/>
      <c r="T37" s="149"/>
      <c r="U37" s="149"/>
      <c r="V37" s="169"/>
    </row>
    <row r="38" spans="1:22" ht="14.2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66"/>
      <c r="P38" s="167"/>
      <c r="Q38" s="149"/>
      <c r="R38" s="149"/>
      <c r="S38" s="169"/>
      <c r="T38" s="169"/>
      <c r="U38" s="169"/>
      <c r="V38" s="169"/>
    </row>
    <row r="39" spans="1:22" ht="14.2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66"/>
      <c r="P39" s="169"/>
      <c r="Q39" s="167"/>
      <c r="R39" s="149"/>
      <c r="S39" s="149"/>
      <c r="T39" s="149"/>
      <c r="U39" s="149"/>
      <c r="V39" s="149"/>
    </row>
    <row r="40" spans="1:22" ht="12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66"/>
      <c r="P40" s="167"/>
      <c r="Q40" s="149"/>
      <c r="R40" s="149"/>
      <c r="S40" s="149"/>
      <c r="T40" s="149"/>
      <c r="U40" s="149"/>
      <c r="V40" s="149"/>
    </row>
    <row r="41" spans="1:22" ht="14.2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66"/>
      <c r="P41" s="167"/>
      <c r="Q41" s="149"/>
      <c r="R41" s="149"/>
      <c r="S41" s="342"/>
      <c r="T41" s="342"/>
      <c r="U41" s="342"/>
      <c r="V41" s="342"/>
    </row>
  </sheetData>
  <mergeCells count="12">
    <mergeCell ref="H10:N10"/>
    <mergeCell ref="O10:Q10"/>
    <mergeCell ref="A10:A12"/>
    <mergeCell ref="F10:F12"/>
    <mergeCell ref="B10:E12"/>
    <mergeCell ref="S41:V41"/>
    <mergeCell ref="G10:G12"/>
    <mergeCell ref="Q11:Q12"/>
    <mergeCell ref="R10:R12"/>
    <mergeCell ref="S10:S12"/>
    <mergeCell ref="O11:O12"/>
    <mergeCell ref="P11:P12"/>
  </mergeCells>
  <printOptions horizontalCentered="1"/>
  <pageMargins left="0.23" right="0" top="0.19" bottom="0.1" header="0" footer="0"/>
  <pageSetup horizontalDpi="300" verticalDpi="300" orientation="landscape" paperSize="9" r:id="rId1"/>
  <ignoredErrors>
    <ignoredError sqref="F13:F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S1" sqref="S1"/>
    </sheetView>
  </sheetViews>
  <sheetFormatPr defaultColWidth="8.796875" defaultRowHeight="15"/>
  <cols>
    <col min="1" max="1" width="4.19921875" style="4" customWidth="1"/>
    <col min="2" max="2" width="17.59765625" style="4" customWidth="1"/>
    <col min="3" max="13" width="5.5" style="4" customWidth="1"/>
    <col min="14" max="14" width="5" style="4" customWidth="1"/>
    <col min="15" max="15" width="7" style="4" customWidth="1"/>
    <col min="16" max="16" width="6.59765625" style="4" customWidth="1"/>
    <col min="17" max="17" width="10.59765625" style="4" customWidth="1"/>
    <col min="18" max="18" width="9.8984375" style="4" customWidth="1"/>
    <col min="19" max="19" width="8.5" style="4" customWidth="1"/>
    <col min="20" max="20" width="8" style="4" customWidth="1"/>
    <col min="21" max="21" width="10.5" style="4" customWidth="1"/>
    <col min="22" max="16384" width="8" style="4" customWidth="1"/>
  </cols>
  <sheetData>
    <row r="1" spans="1:22" ht="23.25" customHeight="1">
      <c r="A1" s="1">
        <v>5</v>
      </c>
      <c r="B1" s="1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38">
        <v>663</v>
      </c>
      <c r="T1" s="3"/>
      <c r="U1" s="3"/>
      <c r="V1" s="3"/>
    </row>
    <row r="2" spans="1:22" s="5" customFormat="1" ht="14.25" customHeight="1">
      <c r="A2" s="4"/>
      <c r="B2" s="147"/>
      <c r="C2" s="147"/>
      <c r="D2" s="147"/>
      <c r="E2" s="14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"/>
      <c r="S2" s="148" t="s">
        <v>0</v>
      </c>
      <c r="T2" s="4"/>
      <c r="U2" s="4"/>
      <c r="V2" s="4"/>
    </row>
    <row r="3" spans="1:22" s="5" customFormat="1" ht="11.25" customHeight="1">
      <c r="A3" s="314" t="s">
        <v>225</v>
      </c>
      <c r="B3" s="150"/>
      <c r="C3" s="150"/>
      <c r="D3" s="150"/>
      <c r="E3" s="150"/>
      <c r="F3" s="149" t="s">
        <v>1</v>
      </c>
      <c r="G3" s="151"/>
      <c r="H3" s="151"/>
      <c r="I3" s="151"/>
      <c r="J3" s="151"/>
      <c r="K3" s="151"/>
      <c r="L3" s="151"/>
      <c r="M3" s="151"/>
      <c r="N3" s="151"/>
      <c r="O3" s="151"/>
      <c r="P3" s="314" t="s">
        <v>2</v>
      </c>
      <c r="Q3" s="316"/>
      <c r="R3" s="316"/>
      <c r="S3" s="152"/>
      <c r="T3" s="4"/>
      <c r="U3" s="4"/>
      <c r="V3" s="4"/>
    </row>
    <row r="4" spans="1:22" s="5" customFormat="1" ht="11.25" customHeight="1">
      <c r="A4" s="314" t="s">
        <v>3</v>
      </c>
      <c r="B4" s="150"/>
      <c r="C4" s="150"/>
      <c r="D4" s="150"/>
      <c r="E4" s="150"/>
      <c r="F4" s="4"/>
      <c r="G4" s="4"/>
      <c r="H4" s="4"/>
      <c r="I4" s="4"/>
      <c r="J4" s="4"/>
      <c r="K4" s="4"/>
      <c r="L4" s="4"/>
      <c r="M4" s="4"/>
      <c r="N4" s="4"/>
      <c r="O4" s="316"/>
      <c r="P4" s="316"/>
      <c r="Q4" s="316"/>
      <c r="R4" s="316"/>
      <c r="S4" s="152"/>
      <c r="T4" s="4"/>
      <c r="U4" s="4"/>
      <c r="V4" s="4"/>
    </row>
    <row r="5" spans="1:22" s="5" customFormat="1" ht="11.25" customHeight="1">
      <c r="A5" s="314" t="s">
        <v>201</v>
      </c>
      <c r="B5" s="150"/>
      <c r="C5" s="150"/>
      <c r="D5" s="150"/>
      <c r="E5" s="150"/>
      <c r="F5" s="153"/>
      <c r="G5" s="4"/>
      <c r="H5" s="4"/>
      <c r="I5" s="4"/>
      <c r="J5" s="4"/>
      <c r="K5" s="4"/>
      <c r="L5" s="4"/>
      <c r="M5" s="4"/>
      <c r="N5" s="4"/>
      <c r="O5" s="151"/>
      <c r="P5" s="317"/>
      <c r="Q5" s="316"/>
      <c r="R5" s="316"/>
      <c r="S5" s="155" t="s">
        <v>4</v>
      </c>
      <c r="T5" s="4"/>
      <c r="U5" s="4"/>
      <c r="V5" s="4"/>
    </row>
    <row r="6" spans="1:22" s="5" customFormat="1" ht="11.25" customHeight="1">
      <c r="A6" s="314" t="s">
        <v>202</v>
      </c>
      <c r="B6" s="150"/>
      <c r="C6" s="150"/>
      <c r="D6" s="150"/>
      <c r="E6" s="150"/>
      <c r="F6" s="153"/>
      <c r="G6" s="4"/>
      <c r="H6" s="4"/>
      <c r="I6" s="4"/>
      <c r="J6" s="4"/>
      <c r="K6" s="4"/>
      <c r="L6" s="4"/>
      <c r="M6" s="4"/>
      <c r="N6" s="4"/>
      <c r="O6" s="151"/>
      <c r="P6" s="317"/>
      <c r="Q6" s="316"/>
      <c r="R6" s="316"/>
      <c r="S6" s="155"/>
      <c r="T6" s="4"/>
      <c r="U6" s="4"/>
      <c r="V6" s="4"/>
    </row>
    <row r="7" spans="1:22" s="5" customFormat="1" ht="11.25" customHeight="1">
      <c r="A7" s="315" t="s">
        <v>226</v>
      </c>
      <c r="B7" s="150"/>
      <c r="C7" s="150"/>
      <c r="D7" s="150"/>
      <c r="E7" s="150"/>
      <c r="F7" s="153"/>
      <c r="G7" s="4"/>
      <c r="H7" s="4"/>
      <c r="I7" s="4"/>
      <c r="J7" s="4"/>
      <c r="K7" s="4"/>
      <c r="L7" s="4"/>
      <c r="M7" s="4"/>
      <c r="N7" s="4"/>
      <c r="O7" s="316"/>
      <c r="P7" s="317"/>
      <c r="Q7" s="316"/>
      <c r="R7" s="316"/>
      <c r="S7" s="152"/>
      <c r="T7" s="4"/>
      <c r="U7" s="4"/>
      <c r="V7" s="4"/>
    </row>
    <row r="8" spans="1:22" s="5" customFormat="1" ht="11.25" customHeight="1">
      <c r="A8" s="314" t="s">
        <v>198</v>
      </c>
      <c r="B8" s="150"/>
      <c r="C8" s="150"/>
      <c r="D8" s="150"/>
      <c r="E8" s="150"/>
      <c r="F8" s="153"/>
      <c r="G8" s="151"/>
      <c r="H8" s="151"/>
      <c r="I8" s="151"/>
      <c r="J8" s="151"/>
      <c r="K8" s="151"/>
      <c r="L8" s="151"/>
      <c r="M8" s="151"/>
      <c r="N8" s="151"/>
      <c r="O8" s="151"/>
      <c r="P8" s="154"/>
      <c r="Q8" s="4"/>
      <c r="R8" s="4"/>
      <c r="S8" s="152"/>
      <c r="T8" s="4"/>
      <c r="U8" s="4"/>
      <c r="V8" s="4"/>
    </row>
    <row r="9" spans="1:22" s="5" customFormat="1" ht="17.25" customHeight="1">
      <c r="A9" s="157" t="s">
        <v>178</v>
      </c>
      <c r="B9" s="158"/>
      <c r="C9" s="158" t="str">
        <f>'DANH MUC NPL'!J9</f>
        <v>IS308A380</v>
      </c>
      <c r="D9" s="158"/>
      <c r="E9" s="158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1" t="s">
        <v>6</v>
      </c>
      <c r="Q9" s="162">
        <f>'DANH MUC NPL'!J10</f>
        <v>1800</v>
      </c>
      <c r="R9" s="142" t="s">
        <v>7</v>
      </c>
      <c r="S9" s="157"/>
      <c r="T9" s="4"/>
      <c r="U9" s="4"/>
      <c r="V9" s="4"/>
    </row>
    <row r="10" spans="1:22" s="5" customFormat="1" ht="12" customHeight="1">
      <c r="A10" s="353" t="s">
        <v>8</v>
      </c>
      <c r="B10" s="408" t="s">
        <v>9</v>
      </c>
      <c r="C10" s="409"/>
      <c r="D10" s="409"/>
      <c r="E10" s="410"/>
      <c r="F10" s="407" t="s">
        <v>10</v>
      </c>
      <c r="G10" s="393" t="s">
        <v>11</v>
      </c>
      <c r="H10" s="402" t="s">
        <v>194</v>
      </c>
      <c r="I10" s="403"/>
      <c r="J10" s="403"/>
      <c r="K10" s="403"/>
      <c r="L10" s="403"/>
      <c r="M10" s="403"/>
      <c r="N10" s="404"/>
      <c r="O10" s="405" t="s">
        <v>12</v>
      </c>
      <c r="P10" s="406"/>
      <c r="Q10" s="406"/>
      <c r="R10" s="397" t="s">
        <v>13</v>
      </c>
      <c r="S10" s="397" t="s">
        <v>253</v>
      </c>
      <c r="T10" s="4"/>
      <c r="U10" s="4"/>
      <c r="V10" s="4"/>
    </row>
    <row r="11" spans="1:22" s="5" customFormat="1" ht="12" customHeight="1">
      <c r="A11" s="354"/>
      <c r="B11" s="411"/>
      <c r="C11" s="412"/>
      <c r="D11" s="412"/>
      <c r="E11" s="413"/>
      <c r="F11" s="394"/>
      <c r="G11" s="394"/>
      <c r="H11" s="294">
        <v>7</v>
      </c>
      <c r="I11" s="294">
        <v>8</v>
      </c>
      <c r="J11" s="294">
        <v>10</v>
      </c>
      <c r="K11" s="295">
        <v>12</v>
      </c>
      <c r="L11" s="294">
        <v>14</v>
      </c>
      <c r="M11" s="294">
        <v>16</v>
      </c>
      <c r="N11" s="294"/>
      <c r="O11" s="398" t="s">
        <v>214</v>
      </c>
      <c r="P11" s="400" t="s">
        <v>200</v>
      </c>
      <c r="Q11" s="395" t="s">
        <v>195</v>
      </c>
      <c r="R11" s="397"/>
      <c r="S11" s="397"/>
      <c r="T11" s="4"/>
      <c r="U11" s="4"/>
      <c r="V11" s="4"/>
    </row>
    <row r="12" spans="1:22" s="5" customFormat="1" ht="12" customHeight="1">
      <c r="A12" s="355"/>
      <c r="B12" s="414"/>
      <c r="C12" s="415"/>
      <c r="D12" s="415"/>
      <c r="E12" s="416"/>
      <c r="F12" s="394"/>
      <c r="G12" s="394"/>
      <c r="H12" s="296">
        <v>300</v>
      </c>
      <c r="I12" s="296">
        <v>300</v>
      </c>
      <c r="J12" s="296">
        <v>450</v>
      </c>
      <c r="K12" s="297">
        <v>450</v>
      </c>
      <c r="L12" s="296">
        <v>150</v>
      </c>
      <c r="M12" s="296">
        <v>150</v>
      </c>
      <c r="N12" s="296"/>
      <c r="O12" s="399"/>
      <c r="P12" s="401"/>
      <c r="Q12" s="396"/>
      <c r="R12" s="397"/>
      <c r="S12" s="397"/>
      <c r="T12" s="4"/>
      <c r="U12" s="313">
        <f>SUM(H12:N12)</f>
        <v>1800</v>
      </c>
      <c r="V12" s="4"/>
    </row>
    <row r="13" spans="1:22" s="5" customFormat="1" ht="12.75" customHeight="1">
      <c r="A13" s="163">
        <v>1</v>
      </c>
      <c r="B13" s="49" t="s">
        <v>22</v>
      </c>
      <c r="C13" s="267"/>
      <c r="D13" s="267"/>
      <c r="E13" s="188"/>
      <c r="F13" s="272" t="s">
        <v>23</v>
      </c>
      <c r="G13" s="281" t="s">
        <v>243</v>
      </c>
      <c r="H13" s="277">
        <f>K13*0.97</f>
        <v>1.54036</v>
      </c>
      <c r="I13" s="277">
        <f>K13*0.98</f>
        <v>1.55624</v>
      </c>
      <c r="J13" s="277">
        <f>K13*0.99</f>
        <v>1.57212</v>
      </c>
      <c r="K13" s="277">
        <v>1.588</v>
      </c>
      <c r="L13" s="277">
        <f>K13*1.01</f>
        <v>1.6038800000000002</v>
      </c>
      <c r="M13" s="277">
        <f>K13*1.02</f>
        <v>1.61976</v>
      </c>
      <c r="N13" s="277"/>
      <c r="O13" s="282">
        <f>'DANH MUC NPL'!J14</f>
        <v>1.575</v>
      </c>
      <c r="P13" s="283">
        <v>0.03</v>
      </c>
      <c r="Q13" s="284">
        <f aca="true" t="shared" si="0" ref="Q13:Q28">O13*1.03*$Q$9</f>
        <v>2920.0499999999997</v>
      </c>
      <c r="R13" s="285" t="s">
        <v>19</v>
      </c>
      <c r="S13" s="286"/>
      <c r="T13" s="4"/>
      <c r="U13" s="216">
        <f aca="true" t="shared" si="1" ref="U13:U20">(H13*$H$12+I13*$I$12+J13*$J$12+K13*$K$12+L13*$L$12+M13*$M$12+N13*$N$12)/$Q$9</f>
        <v>1.5747666666666666</v>
      </c>
      <c r="V13" s="4"/>
    </row>
    <row r="14" spans="1:22" s="5" customFormat="1" ht="12.75" customHeight="1">
      <c r="A14" s="163">
        <v>2</v>
      </c>
      <c r="B14" s="49" t="s">
        <v>48</v>
      </c>
      <c r="C14" s="268"/>
      <c r="D14" s="268"/>
      <c r="E14" s="214"/>
      <c r="F14" s="272" t="s">
        <v>49</v>
      </c>
      <c r="G14" s="281" t="s">
        <v>165</v>
      </c>
      <c r="H14" s="277">
        <f>K14*0.97</f>
        <v>284.695</v>
      </c>
      <c r="I14" s="277">
        <f>K14*0.98</f>
        <v>287.63</v>
      </c>
      <c r="J14" s="277">
        <f>K14*0.99</f>
        <v>290.565</v>
      </c>
      <c r="K14" s="277">
        <v>293.5</v>
      </c>
      <c r="L14" s="277">
        <f>K14*1.01</f>
        <v>296.435</v>
      </c>
      <c r="M14" s="277">
        <f>K14*1.02</f>
        <v>299.37</v>
      </c>
      <c r="N14" s="277"/>
      <c r="O14" s="282">
        <f>'DANH MUC NPL'!J27</f>
        <v>291.054</v>
      </c>
      <c r="P14" s="283">
        <v>0.03</v>
      </c>
      <c r="Q14" s="284">
        <f t="shared" si="0"/>
        <v>539614.116</v>
      </c>
      <c r="R14" s="287" t="s">
        <v>172</v>
      </c>
      <c r="S14" s="325">
        <f>Q14</f>
        <v>539614.116</v>
      </c>
      <c r="T14" s="4"/>
      <c r="U14" s="216">
        <f t="shared" si="1"/>
        <v>291.0541666666667</v>
      </c>
      <c r="V14" s="4"/>
    </row>
    <row r="15" spans="1:22" s="5" customFormat="1" ht="12.75" customHeight="1">
      <c r="A15" s="163">
        <v>3</v>
      </c>
      <c r="B15" s="49" t="s">
        <v>50</v>
      </c>
      <c r="C15" s="268"/>
      <c r="D15" s="268"/>
      <c r="E15" s="214"/>
      <c r="F15" s="272" t="s">
        <v>51</v>
      </c>
      <c r="G15" s="281" t="s">
        <v>167</v>
      </c>
      <c r="H15" s="279">
        <f aca="true" t="shared" si="2" ref="H15:M15">$O$15</f>
        <v>1</v>
      </c>
      <c r="I15" s="279">
        <f t="shared" si="2"/>
        <v>1</v>
      </c>
      <c r="J15" s="279">
        <f t="shared" si="2"/>
        <v>1</v>
      </c>
      <c r="K15" s="279">
        <f t="shared" si="2"/>
        <v>1</v>
      </c>
      <c r="L15" s="279">
        <f t="shared" si="2"/>
        <v>1</v>
      </c>
      <c r="M15" s="279">
        <f t="shared" si="2"/>
        <v>1</v>
      </c>
      <c r="N15" s="279"/>
      <c r="O15" s="282">
        <f>'DANH MUC NPL'!J28</f>
        <v>1</v>
      </c>
      <c r="P15" s="283">
        <v>0.03</v>
      </c>
      <c r="Q15" s="284">
        <f t="shared" si="0"/>
        <v>1854</v>
      </c>
      <c r="R15" s="285" t="s">
        <v>252</v>
      </c>
      <c r="S15" s="288">
        <v>381.22</v>
      </c>
      <c r="T15" s="4"/>
      <c r="U15" s="215">
        <f t="shared" si="1"/>
        <v>1</v>
      </c>
      <c r="V15" s="4"/>
    </row>
    <row r="16" spans="1:22" s="5" customFormat="1" ht="12.75" customHeight="1">
      <c r="A16" s="163">
        <v>4</v>
      </c>
      <c r="B16" s="49" t="s">
        <v>65</v>
      </c>
      <c r="C16" s="268"/>
      <c r="D16" s="268"/>
      <c r="E16" s="214"/>
      <c r="F16" s="272" t="s">
        <v>66</v>
      </c>
      <c r="G16" s="281" t="s">
        <v>167</v>
      </c>
      <c r="H16" s="279">
        <f aca="true" t="shared" si="3" ref="H16:M16">$O$16</f>
        <v>3</v>
      </c>
      <c r="I16" s="279">
        <f t="shared" si="3"/>
        <v>3</v>
      </c>
      <c r="J16" s="279">
        <f t="shared" si="3"/>
        <v>3</v>
      </c>
      <c r="K16" s="279">
        <f t="shared" si="3"/>
        <v>3</v>
      </c>
      <c r="L16" s="279">
        <f t="shared" si="3"/>
        <v>3</v>
      </c>
      <c r="M16" s="279">
        <f t="shared" si="3"/>
        <v>3</v>
      </c>
      <c r="N16" s="279"/>
      <c r="O16" s="282">
        <f>'DANH MUC NPL'!J35</f>
        <v>3</v>
      </c>
      <c r="P16" s="283">
        <v>0.03</v>
      </c>
      <c r="Q16" s="284">
        <f t="shared" si="0"/>
        <v>5562</v>
      </c>
      <c r="R16" s="287" t="s">
        <v>172</v>
      </c>
      <c r="S16" s="325">
        <f>Q16</f>
        <v>5562</v>
      </c>
      <c r="T16" s="4"/>
      <c r="U16" s="215">
        <f t="shared" si="1"/>
        <v>3</v>
      </c>
      <c r="V16" s="4"/>
    </row>
    <row r="17" spans="1:22" s="5" customFormat="1" ht="12.75" customHeight="1">
      <c r="A17" s="163">
        <v>5</v>
      </c>
      <c r="B17" s="49" t="s">
        <v>67</v>
      </c>
      <c r="C17" s="268"/>
      <c r="D17" s="268"/>
      <c r="E17" s="214"/>
      <c r="F17" s="272" t="s">
        <v>68</v>
      </c>
      <c r="G17" s="281" t="s">
        <v>168</v>
      </c>
      <c r="H17" s="279">
        <f aca="true" t="shared" si="4" ref="H17:M17">$O$17</f>
        <v>2</v>
      </c>
      <c r="I17" s="279">
        <f t="shared" si="4"/>
        <v>2</v>
      </c>
      <c r="J17" s="279">
        <f t="shared" si="4"/>
        <v>2</v>
      </c>
      <c r="K17" s="279">
        <f t="shared" si="4"/>
        <v>2</v>
      </c>
      <c r="L17" s="279">
        <f t="shared" si="4"/>
        <v>2</v>
      </c>
      <c r="M17" s="279">
        <f t="shared" si="4"/>
        <v>2</v>
      </c>
      <c r="N17" s="279"/>
      <c r="O17" s="282">
        <f>'DANH MUC NPL'!J36</f>
        <v>2</v>
      </c>
      <c r="P17" s="283">
        <v>0.03</v>
      </c>
      <c r="Q17" s="284">
        <f t="shared" si="0"/>
        <v>3708</v>
      </c>
      <c r="R17" s="285" t="s">
        <v>252</v>
      </c>
      <c r="S17" s="288">
        <v>751</v>
      </c>
      <c r="T17" s="4"/>
      <c r="U17" s="215">
        <f t="shared" si="1"/>
        <v>2</v>
      </c>
      <c r="V17" s="4"/>
    </row>
    <row r="18" spans="1:22" s="5" customFormat="1" ht="12.75" customHeight="1">
      <c r="A18" s="163">
        <v>6</v>
      </c>
      <c r="B18" s="49" t="s">
        <v>73</v>
      </c>
      <c r="C18" s="268"/>
      <c r="D18" s="268"/>
      <c r="E18" s="214"/>
      <c r="F18" s="272" t="s">
        <v>74</v>
      </c>
      <c r="G18" s="281" t="s">
        <v>167</v>
      </c>
      <c r="H18" s="279">
        <f aca="true" t="shared" si="5" ref="H18:M18">$O$18</f>
        <v>1</v>
      </c>
      <c r="I18" s="279">
        <f t="shared" si="5"/>
        <v>1</v>
      </c>
      <c r="J18" s="279">
        <f t="shared" si="5"/>
        <v>1</v>
      </c>
      <c r="K18" s="279">
        <f t="shared" si="5"/>
        <v>1</v>
      </c>
      <c r="L18" s="279">
        <f t="shared" si="5"/>
        <v>1</v>
      </c>
      <c r="M18" s="279">
        <f t="shared" si="5"/>
        <v>1</v>
      </c>
      <c r="N18" s="279"/>
      <c r="O18" s="282">
        <f>'DANH MUC NPL'!J39</f>
        <v>1</v>
      </c>
      <c r="P18" s="283">
        <v>0</v>
      </c>
      <c r="Q18" s="284">
        <f t="shared" si="0"/>
        <v>1854</v>
      </c>
      <c r="R18" s="287" t="s">
        <v>172</v>
      </c>
      <c r="S18" s="325">
        <f>Q18</f>
        <v>1854</v>
      </c>
      <c r="T18" s="4"/>
      <c r="U18" s="215">
        <f t="shared" si="1"/>
        <v>1</v>
      </c>
      <c r="V18" s="4"/>
    </row>
    <row r="19" spans="1:22" s="5" customFormat="1" ht="12.75" customHeight="1">
      <c r="A19" s="163">
        <v>7</v>
      </c>
      <c r="B19" s="49" t="s">
        <v>75</v>
      </c>
      <c r="C19" s="268"/>
      <c r="D19" s="268"/>
      <c r="E19" s="214"/>
      <c r="F19" s="272" t="s">
        <v>76</v>
      </c>
      <c r="G19" s="281" t="s">
        <v>167</v>
      </c>
      <c r="H19" s="279">
        <f aca="true" t="shared" si="6" ref="H19:M19">$O$19</f>
        <v>2</v>
      </c>
      <c r="I19" s="279">
        <f t="shared" si="6"/>
        <v>2</v>
      </c>
      <c r="J19" s="279">
        <f t="shared" si="6"/>
        <v>2</v>
      </c>
      <c r="K19" s="279">
        <f t="shared" si="6"/>
        <v>2</v>
      </c>
      <c r="L19" s="279">
        <f t="shared" si="6"/>
        <v>2</v>
      </c>
      <c r="M19" s="279">
        <f t="shared" si="6"/>
        <v>2</v>
      </c>
      <c r="N19" s="279"/>
      <c r="O19" s="282">
        <f>'DANH MUC NPL'!J40</f>
        <v>2</v>
      </c>
      <c r="P19" s="283">
        <v>0.03</v>
      </c>
      <c r="Q19" s="284">
        <f t="shared" si="0"/>
        <v>3708</v>
      </c>
      <c r="R19" s="285" t="s">
        <v>252</v>
      </c>
      <c r="S19" s="288">
        <v>255.7</v>
      </c>
      <c r="T19" s="4"/>
      <c r="U19" s="215">
        <f t="shared" si="1"/>
        <v>2</v>
      </c>
      <c r="V19" s="4"/>
    </row>
    <row r="20" spans="1:22" s="5" customFormat="1" ht="12.75" customHeight="1">
      <c r="A20" s="163">
        <v>8</v>
      </c>
      <c r="B20" s="49" t="s">
        <v>242</v>
      </c>
      <c r="C20" s="268"/>
      <c r="D20" s="268"/>
      <c r="E20" s="214"/>
      <c r="F20" s="272" t="s">
        <v>78</v>
      </c>
      <c r="G20" s="281" t="s">
        <v>167</v>
      </c>
      <c r="H20" s="279">
        <f aca="true" t="shared" si="7" ref="H20:M20">$O$20</f>
        <v>1</v>
      </c>
      <c r="I20" s="279">
        <f t="shared" si="7"/>
        <v>1</v>
      </c>
      <c r="J20" s="279">
        <f t="shared" si="7"/>
        <v>1</v>
      </c>
      <c r="K20" s="279">
        <f t="shared" si="7"/>
        <v>1</v>
      </c>
      <c r="L20" s="279">
        <f t="shared" si="7"/>
        <v>1</v>
      </c>
      <c r="M20" s="279">
        <f t="shared" si="7"/>
        <v>1</v>
      </c>
      <c r="N20" s="279"/>
      <c r="O20" s="282">
        <f>'DANH MUC NPL'!J41</f>
        <v>1</v>
      </c>
      <c r="P20" s="283">
        <v>0.03</v>
      </c>
      <c r="Q20" s="284">
        <f t="shared" si="0"/>
        <v>1854</v>
      </c>
      <c r="R20" s="285" t="s">
        <v>19</v>
      </c>
      <c r="S20" s="288"/>
      <c r="T20" s="4"/>
      <c r="U20" s="215">
        <f t="shared" si="1"/>
        <v>1</v>
      </c>
      <c r="V20" s="4"/>
    </row>
    <row r="21" spans="1:22" s="5" customFormat="1" ht="12.75" customHeight="1">
      <c r="A21" s="163">
        <v>9</v>
      </c>
      <c r="B21" s="49" t="s">
        <v>87</v>
      </c>
      <c r="C21" s="268"/>
      <c r="D21" s="268"/>
      <c r="E21" s="214"/>
      <c r="F21" s="272" t="s">
        <v>88</v>
      </c>
      <c r="G21" s="281" t="s">
        <v>167</v>
      </c>
      <c r="H21" s="279">
        <f aca="true" t="shared" si="8" ref="H21:M21">$O$21</f>
        <v>1</v>
      </c>
      <c r="I21" s="279">
        <f t="shared" si="8"/>
        <v>1</v>
      </c>
      <c r="J21" s="279">
        <f t="shared" si="8"/>
        <v>1</v>
      </c>
      <c r="K21" s="279">
        <f t="shared" si="8"/>
        <v>1</v>
      </c>
      <c r="L21" s="279">
        <f t="shared" si="8"/>
        <v>1</v>
      </c>
      <c r="M21" s="279">
        <f t="shared" si="8"/>
        <v>1</v>
      </c>
      <c r="N21" s="279"/>
      <c r="O21" s="282">
        <f>'DANH MUC NPL'!J46</f>
        <v>1</v>
      </c>
      <c r="P21" s="283">
        <v>0.03</v>
      </c>
      <c r="Q21" s="284">
        <f t="shared" si="0"/>
        <v>1854</v>
      </c>
      <c r="R21" s="287" t="s">
        <v>172</v>
      </c>
      <c r="S21" s="325">
        <f>Q21</f>
        <v>1854</v>
      </c>
      <c r="T21" s="4"/>
      <c r="U21" s="215">
        <f aca="true" t="shared" si="9" ref="U21:U27">(H21*$H$12+I21*$I$12+J21*$J$12+K21*$K$12+L21*$L$12+M21*$M$12+N21*$N$12)/$Q$9</f>
        <v>1</v>
      </c>
      <c r="V21" s="4"/>
    </row>
    <row r="22" spans="1:22" s="5" customFormat="1" ht="12.75" customHeight="1">
      <c r="A22" s="163">
        <v>10</v>
      </c>
      <c r="B22" s="49" t="s">
        <v>89</v>
      </c>
      <c r="C22" s="268"/>
      <c r="D22" s="268"/>
      <c r="E22" s="214"/>
      <c r="F22" s="272" t="s">
        <v>90</v>
      </c>
      <c r="G22" s="281" t="s">
        <v>167</v>
      </c>
      <c r="H22" s="279">
        <f aca="true" t="shared" si="10" ref="H22:M22">$O$22</f>
        <v>1</v>
      </c>
      <c r="I22" s="279">
        <f t="shared" si="10"/>
        <v>1</v>
      </c>
      <c r="J22" s="279">
        <f t="shared" si="10"/>
        <v>1</v>
      </c>
      <c r="K22" s="279">
        <f t="shared" si="10"/>
        <v>1</v>
      </c>
      <c r="L22" s="279">
        <f t="shared" si="10"/>
        <v>1</v>
      </c>
      <c r="M22" s="279">
        <f t="shared" si="10"/>
        <v>1</v>
      </c>
      <c r="N22" s="279"/>
      <c r="O22" s="282">
        <f>'DANH MUC NPL'!J47</f>
        <v>1</v>
      </c>
      <c r="P22" s="283">
        <v>0.03</v>
      </c>
      <c r="Q22" s="284">
        <f t="shared" si="0"/>
        <v>1854</v>
      </c>
      <c r="R22" s="287" t="s">
        <v>172</v>
      </c>
      <c r="S22" s="325">
        <f>Q22</f>
        <v>1854</v>
      </c>
      <c r="T22" s="4"/>
      <c r="U22" s="215">
        <f t="shared" si="9"/>
        <v>1</v>
      </c>
      <c r="V22" s="4"/>
    </row>
    <row r="23" spans="1:22" s="5" customFormat="1" ht="12.75" customHeight="1">
      <c r="A23" s="163">
        <v>11</v>
      </c>
      <c r="B23" s="49" t="s">
        <v>95</v>
      </c>
      <c r="C23" s="268"/>
      <c r="D23" s="268"/>
      <c r="E23" s="214"/>
      <c r="F23" s="272" t="s">
        <v>96</v>
      </c>
      <c r="G23" s="281" t="s">
        <v>167</v>
      </c>
      <c r="H23" s="279">
        <f aca="true" t="shared" si="11" ref="H23:M23">$O$23</f>
        <v>1</v>
      </c>
      <c r="I23" s="279">
        <f t="shared" si="11"/>
        <v>1</v>
      </c>
      <c r="J23" s="279">
        <f t="shared" si="11"/>
        <v>1</v>
      </c>
      <c r="K23" s="279">
        <f t="shared" si="11"/>
        <v>1</v>
      </c>
      <c r="L23" s="279">
        <f t="shared" si="11"/>
        <v>1</v>
      </c>
      <c r="M23" s="279">
        <f t="shared" si="11"/>
        <v>1</v>
      </c>
      <c r="N23" s="279"/>
      <c r="O23" s="282">
        <f>'DANH MUC NPL'!J50</f>
        <v>1</v>
      </c>
      <c r="P23" s="283">
        <v>0.03</v>
      </c>
      <c r="Q23" s="284">
        <f t="shared" si="0"/>
        <v>1854</v>
      </c>
      <c r="R23" s="285" t="s">
        <v>252</v>
      </c>
      <c r="S23" s="288">
        <v>1625.98</v>
      </c>
      <c r="T23" s="4"/>
      <c r="U23" s="215">
        <f t="shared" si="9"/>
        <v>1</v>
      </c>
      <c r="V23" s="4"/>
    </row>
    <row r="24" spans="1:22" s="5" customFormat="1" ht="12.75" customHeight="1">
      <c r="A24" s="163">
        <v>12</v>
      </c>
      <c r="B24" s="49" t="s">
        <v>99</v>
      </c>
      <c r="C24" s="268"/>
      <c r="D24" s="268"/>
      <c r="E24" s="214"/>
      <c r="F24" s="272" t="s">
        <v>100</v>
      </c>
      <c r="G24" s="281" t="s">
        <v>167</v>
      </c>
      <c r="H24" s="279">
        <f aca="true" t="shared" si="12" ref="H24:M24">$O$24</f>
        <v>0.084</v>
      </c>
      <c r="I24" s="279">
        <f t="shared" si="12"/>
        <v>0.084</v>
      </c>
      <c r="J24" s="279">
        <f t="shared" si="12"/>
        <v>0.084</v>
      </c>
      <c r="K24" s="279">
        <f t="shared" si="12"/>
        <v>0.084</v>
      </c>
      <c r="L24" s="279">
        <f t="shared" si="12"/>
        <v>0.084</v>
      </c>
      <c r="M24" s="279">
        <f t="shared" si="12"/>
        <v>0.084</v>
      </c>
      <c r="N24" s="279"/>
      <c r="O24" s="282">
        <f>'DANH MUC NPL'!J52</f>
        <v>0.084</v>
      </c>
      <c r="P24" s="283">
        <v>0.03</v>
      </c>
      <c r="Q24" s="284">
        <f t="shared" si="0"/>
        <v>155.73600000000002</v>
      </c>
      <c r="R24" s="287" t="s">
        <v>172</v>
      </c>
      <c r="S24" s="325">
        <f>Q24</f>
        <v>155.73600000000002</v>
      </c>
      <c r="T24" s="4"/>
      <c r="U24" s="215">
        <f t="shared" si="9"/>
        <v>0.084</v>
      </c>
      <c r="V24" s="4"/>
    </row>
    <row r="25" spans="1:22" s="5" customFormat="1" ht="12.75" customHeight="1">
      <c r="A25" s="163">
        <v>13</v>
      </c>
      <c r="B25" s="49" t="s">
        <v>101</v>
      </c>
      <c r="C25" s="268"/>
      <c r="D25" s="268"/>
      <c r="E25" s="214"/>
      <c r="F25" s="272" t="s">
        <v>102</v>
      </c>
      <c r="G25" s="281" t="s">
        <v>167</v>
      </c>
      <c r="H25" s="279">
        <f aca="true" t="shared" si="13" ref="H25:M25">$O$25</f>
        <v>1</v>
      </c>
      <c r="I25" s="279">
        <f t="shared" si="13"/>
        <v>1</v>
      </c>
      <c r="J25" s="279">
        <f t="shared" si="13"/>
        <v>1</v>
      </c>
      <c r="K25" s="279">
        <f t="shared" si="13"/>
        <v>1</v>
      </c>
      <c r="L25" s="279">
        <f t="shared" si="13"/>
        <v>1</v>
      </c>
      <c r="M25" s="279">
        <f t="shared" si="13"/>
        <v>1</v>
      </c>
      <c r="N25" s="279"/>
      <c r="O25" s="282">
        <f>'DANH MUC NPL'!J53</f>
        <v>1</v>
      </c>
      <c r="P25" s="283">
        <v>0.03</v>
      </c>
      <c r="Q25" s="284">
        <f t="shared" si="0"/>
        <v>1854</v>
      </c>
      <c r="R25" s="285" t="s">
        <v>252</v>
      </c>
      <c r="S25" s="288">
        <v>1032.98</v>
      </c>
      <c r="T25" s="4"/>
      <c r="U25" s="215">
        <f t="shared" si="9"/>
        <v>1</v>
      </c>
      <c r="V25" s="4"/>
    </row>
    <row r="26" spans="1:22" s="5" customFormat="1" ht="12.75" customHeight="1">
      <c r="A26" s="163">
        <v>14</v>
      </c>
      <c r="B26" s="49" t="s">
        <v>103</v>
      </c>
      <c r="C26" s="268"/>
      <c r="D26" s="268"/>
      <c r="E26" s="214"/>
      <c r="F26" s="272" t="s">
        <v>104</v>
      </c>
      <c r="G26" s="281" t="s">
        <v>167</v>
      </c>
      <c r="H26" s="279">
        <f aca="true" t="shared" si="14" ref="H26:M26">$O$26</f>
        <v>6</v>
      </c>
      <c r="I26" s="279">
        <f t="shared" si="14"/>
        <v>6</v>
      </c>
      <c r="J26" s="279">
        <f t="shared" si="14"/>
        <v>6</v>
      </c>
      <c r="K26" s="279">
        <f t="shared" si="14"/>
        <v>6</v>
      </c>
      <c r="L26" s="279">
        <f t="shared" si="14"/>
        <v>6</v>
      </c>
      <c r="M26" s="279">
        <f t="shared" si="14"/>
        <v>6</v>
      </c>
      <c r="N26" s="279"/>
      <c r="O26" s="282">
        <f>'DANH MUC NPL'!J54</f>
        <v>6</v>
      </c>
      <c r="P26" s="283">
        <v>0.03</v>
      </c>
      <c r="Q26" s="284">
        <f t="shared" si="0"/>
        <v>11124</v>
      </c>
      <c r="R26" s="285" t="s">
        <v>252</v>
      </c>
      <c r="S26" s="288">
        <v>802.84</v>
      </c>
      <c r="T26" s="4"/>
      <c r="U26" s="215">
        <f t="shared" si="9"/>
        <v>6</v>
      </c>
      <c r="V26" s="4"/>
    </row>
    <row r="27" spans="1:22" s="5" customFormat="1" ht="12.75" customHeight="1">
      <c r="A27" s="163">
        <v>15</v>
      </c>
      <c r="B27" s="55" t="s">
        <v>105</v>
      </c>
      <c r="C27" s="268"/>
      <c r="D27" s="268"/>
      <c r="E27" s="214"/>
      <c r="F27" s="302" t="s">
        <v>106</v>
      </c>
      <c r="G27" s="289" t="s">
        <v>170</v>
      </c>
      <c r="H27" s="277">
        <f>K27*0.97</f>
        <v>0.00873</v>
      </c>
      <c r="I27" s="277">
        <f>K27*0.98</f>
        <v>0.00882</v>
      </c>
      <c r="J27" s="277">
        <f>K27*0.99</f>
        <v>0.00891</v>
      </c>
      <c r="K27" s="277">
        <v>0.009</v>
      </c>
      <c r="L27" s="277">
        <f>K27*1.01</f>
        <v>0.009089999999999999</v>
      </c>
      <c r="M27" s="277">
        <f>K27*1.02</f>
        <v>0.009179999999999999</v>
      </c>
      <c r="N27" s="277"/>
      <c r="O27" s="282">
        <f>'DANH MUC NPL'!J55</f>
        <v>0.009</v>
      </c>
      <c r="P27" s="283">
        <v>0.03</v>
      </c>
      <c r="Q27" s="284">
        <f t="shared" si="0"/>
        <v>16.685999999999996</v>
      </c>
      <c r="R27" s="285" t="s">
        <v>19</v>
      </c>
      <c r="S27" s="288"/>
      <c r="T27" s="4"/>
      <c r="U27" s="216">
        <f t="shared" si="9"/>
        <v>0.008925</v>
      </c>
      <c r="V27" s="4"/>
    </row>
    <row r="28" spans="1:22" s="5" customFormat="1" ht="12.75" customHeight="1">
      <c r="A28" s="163">
        <v>16</v>
      </c>
      <c r="B28" s="55" t="s">
        <v>107</v>
      </c>
      <c r="C28" s="268"/>
      <c r="D28" s="268"/>
      <c r="E28" s="214"/>
      <c r="F28" s="302" t="s">
        <v>108</v>
      </c>
      <c r="G28" s="289" t="s">
        <v>166</v>
      </c>
      <c r="H28" s="277">
        <f>K28*0.97</f>
        <v>0.77503</v>
      </c>
      <c r="I28" s="277">
        <f>K28*0.98</f>
        <v>0.78302</v>
      </c>
      <c r="J28" s="277">
        <f>K28*0.99</f>
        <v>0.79101</v>
      </c>
      <c r="K28" s="277">
        <v>0.799</v>
      </c>
      <c r="L28" s="277">
        <f>K28*1.015</f>
        <v>0.810985</v>
      </c>
      <c r="M28" s="277">
        <f>K28*1.02</f>
        <v>0.81498</v>
      </c>
      <c r="N28" s="277"/>
      <c r="O28" s="282">
        <f>'DANH MUC NPL'!J56</f>
        <v>0.793</v>
      </c>
      <c r="P28" s="283">
        <v>0.03</v>
      </c>
      <c r="Q28" s="284">
        <f t="shared" si="0"/>
        <v>1470.222</v>
      </c>
      <c r="R28" s="285" t="s">
        <v>19</v>
      </c>
      <c r="S28" s="288"/>
      <c r="T28" s="4"/>
      <c r="U28" s="216">
        <f>(H28*$H$12+I28*$I$12+J28*$J$12+K28*$K$12+L28*$L$12+M28*$M$12+N28*$N$12)/$Q$9</f>
        <v>0.7926745833333334</v>
      </c>
      <c r="V28" s="4"/>
    </row>
    <row r="29" spans="1:19" ht="7.5" customHeight="1">
      <c r="A29" s="37"/>
      <c r="B29" s="37"/>
      <c r="C29" s="37"/>
      <c r="D29" s="37"/>
      <c r="E29" s="37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</row>
    <row r="30" spans="2:19" ht="12" customHeight="1">
      <c r="B30" s="194" t="s">
        <v>206</v>
      </c>
      <c r="C30" s="290">
        <f>$H$11</f>
        <v>7</v>
      </c>
      <c r="D30" s="290">
        <f>$I$11</f>
        <v>8</v>
      </c>
      <c r="E30" s="290">
        <f>$J$11</f>
        <v>10</v>
      </c>
      <c r="F30" s="290">
        <f>$K$11</f>
        <v>12</v>
      </c>
      <c r="G30" s="290">
        <f>$L$11</f>
        <v>14</v>
      </c>
      <c r="H30" s="290">
        <f>$M$11</f>
        <v>16</v>
      </c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2:19" ht="12" customHeight="1">
      <c r="B31" s="191" t="s">
        <v>203</v>
      </c>
      <c r="C31" s="291">
        <f>$H$12</f>
        <v>300</v>
      </c>
      <c r="D31" s="291">
        <f>$I$12</f>
        <v>300</v>
      </c>
      <c r="E31" s="291">
        <f>$J$12</f>
        <v>450</v>
      </c>
      <c r="F31" s="291">
        <f>$K$12</f>
        <v>450</v>
      </c>
      <c r="G31" s="291">
        <f>$L$12</f>
        <v>150</v>
      </c>
      <c r="H31" s="291">
        <f>$M$12</f>
        <v>150</v>
      </c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2:19" ht="12" customHeight="1">
      <c r="B32" s="191" t="s">
        <v>228</v>
      </c>
      <c r="C32" s="292" t="s">
        <v>237</v>
      </c>
      <c r="D32" s="292" t="s">
        <v>238</v>
      </c>
      <c r="E32" s="292" t="s">
        <v>239</v>
      </c>
      <c r="F32" s="293" t="s">
        <v>230</v>
      </c>
      <c r="G32" s="293" t="s">
        <v>240</v>
      </c>
      <c r="H32" s="293" t="s">
        <v>241</v>
      </c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2:19" ht="12" customHeight="1">
      <c r="B33" s="191" t="s">
        <v>229</v>
      </c>
      <c r="C33" s="292" t="s">
        <v>234</v>
      </c>
      <c r="D33" s="292" t="s">
        <v>235</v>
      </c>
      <c r="E33" s="292" t="s">
        <v>236</v>
      </c>
      <c r="F33" s="293" t="s">
        <v>231</v>
      </c>
      <c r="G33" s="293" t="s">
        <v>232</v>
      </c>
      <c r="H33" s="293" t="s">
        <v>233</v>
      </c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22" ht="16.5" customHeight="1">
      <c r="A34" s="149" t="s">
        <v>112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66"/>
      <c r="P34" s="167"/>
      <c r="Q34" s="149"/>
      <c r="R34" s="149"/>
      <c r="S34" s="149"/>
      <c r="T34" s="149"/>
      <c r="U34" s="149"/>
      <c r="V34" s="149"/>
    </row>
    <row r="35" spans="1:19" ht="18" customHeight="1">
      <c r="A35" s="149"/>
      <c r="B35" s="168" t="s">
        <v>113</v>
      </c>
      <c r="C35" s="169"/>
      <c r="D35" s="169"/>
      <c r="E35" s="169"/>
      <c r="F35" s="149"/>
      <c r="G35" s="149"/>
      <c r="H35" s="149"/>
      <c r="I35" s="149"/>
      <c r="J35" s="149"/>
      <c r="K35" s="149"/>
      <c r="L35" s="149"/>
      <c r="M35" s="149"/>
      <c r="N35" s="149"/>
      <c r="O35" s="170"/>
      <c r="P35" s="167"/>
      <c r="Q35" s="169" t="s">
        <v>113</v>
      </c>
      <c r="R35" s="169"/>
      <c r="S35" s="169"/>
    </row>
    <row r="36" spans="1:19" ht="12.75" customHeight="1">
      <c r="A36" s="149"/>
      <c r="B36" s="168" t="s">
        <v>114</v>
      </c>
      <c r="C36" s="169"/>
      <c r="D36" s="169"/>
      <c r="E36" s="169"/>
      <c r="F36" s="149"/>
      <c r="G36" s="149"/>
      <c r="H36" s="149"/>
      <c r="I36" s="149"/>
      <c r="J36" s="149"/>
      <c r="K36" s="149"/>
      <c r="L36" s="149"/>
      <c r="M36" s="149"/>
      <c r="N36" s="149"/>
      <c r="O36" s="166"/>
      <c r="P36" s="167"/>
      <c r="Q36" s="169" t="s">
        <v>115</v>
      </c>
      <c r="R36" s="169"/>
      <c r="S36" s="169"/>
    </row>
    <row r="37" spans="1:19" ht="12.75" customHeight="1">
      <c r="A37" s="149"/>
      <c r="B37" s="149" t="s">
        <v>116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66"/>
      <c r="P37" s="167"/>
      <c r="Q37" s="169" t="s">
        <v>117</v>
      </c>
      <c r="R37" s="169"/>
      <c r="S37" s="169"/>
    </row>
    <row r="38" spans="1:22" ht="14.25">
      <c r="A38" s="149"/>
      <c r="B38" s="169"/>
      <c r="C38" s="169"/>
      <c r="D38" s="169"/>
      <c r="E38" s="169"/>
      <c r="F38" s="149"/>
      <c r="G38" s="149"/>
      <c r="H38" s="149"/>
      <c r="I38" s="149"/>
      <c r="J38" s="149"/>
      <c r="K38" s="149"/>
      <c r="L38" s="149"/>
      <c r="M38" s="149"/>
      <c r="N38" s="149"/>
      <c r="O38" s="166"/>
      <c r="P38" s="167"/>
      <c r="Q38" s="149"/>
      <c r="R38" s="149"/>
      <c r="S38" s="149"/>
      <c r="T38" s="149"/>
      <c r="U38" s="149"/>
      <c r="V38" s="169"/>
    </row>
    <row r="39" spans="1:22" ht="14.2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66"/>
      <c r="P39" s="167"/>
      <c r="Q39" s="149"/>
      <c r="R39" s="149"/>
      <c r="S39" s="169"/>
      <c r="T39" s="169"/>
      <c r="U39" s="169"/>
      <c r="V39" s="169"/>
    </row>
    <row r="40" spans="1:22" ht="14.25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66"/>
      <c r="P40" s="169"/>
      <c r="Q40" s="167"/>
      <c r="R40" s="149"/>
      <c r="S40" s="149"/>
      <c r="T40" s="149"/>
      <c r="U40" s="149"/>
      <c r="V40" s="149"/>
    </row>
    <row r="41" spans="1:22" ht="12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66"/>
      <c r="P41" s="167"/>
      <c r="Q41" s="149"/>
      <c r="R41" s="149"/>
      <c r="S41" s="149"/>
      <c r="T41" s="149"/>
      <c r="U41" s="149"/>
      <c r="V41" s="149"/>
    </row>
    <row r="42" spans="1:22" ht="14.2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66"/>
      <c r="P42" s="167"/>
      <c r="Q42" s="149"/>
      <c r="R42" s="149"/>
      <c r="S42" s="342"/>
      <c r="T42" s="342"/>
      <c r="U42" s="342"/>
      <c r="V42" s="342"/>
    </row>
  </sheetData>
  <mergeCells count="12">
    <mergeCell ref="H10:N10"/>
    <mergeCell ref="O10:Q10"/>
    <mergeCell ref="A10:A12"/>
    <mergeCell ref="F10:F12"/>
    <mergeCell ref="B10:E12"/>
    <mergeCell ref="S42:V42"/>
    <mergeCell ref="G10:G12"/>
    <mergeCell ref="Q11:Q12"/>
    <mergeCell ref="R10:R12"/>
    <mergeCell ref="S10:S12"/>
    <mergeCell ref="O11:O12"/>
    <mergeCell ref="P11:P12"/>
  </mergeCells>
  <printOptions horizontalCentered="1"/>
  <pageMargins left="0.23" right="0" top="0.19" bottom="0.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S1" sqref="S1"/>
    </sheetView>
  </sheetViews>
  <sheetFormatPr defaultColWidth="8.796875" defaultRowHeight="15"/>
  <cols>
    <col min="1" max="1" width="4.19921875" style="4" customWidth="1"/>
    <col min="2" max="2" width="17.59765625" style="4" customWidth="1"/>
    <col min="3" max="14" width="5.5" style="4" customWidth="1"/>
    <col min="15" max="15" width="8" style="4" customWidth="1"/>
    <col min="16" max="16" width="6.59765625" style="4" customWidth="1"/>
    <col min="17" max="17" width="10.59765625" style="4" customWidth="1"/>
    <col min="18" max="18" width="9" style="4" customWidth="1"/>
    <col min="19" max="19" width="8.5" style="4" customWidth="1"/>
    <col min="20" max="20" width="8" style="4" customWidth="1"/>
    <col min="21" max="21" width="10.5" style="4" customWidth="1"/>
    <col min="22" max="16384" width="8" style="4" customWidth="1"/>
  </cols>
  <sheetData>
    <row r="1" spans="1:22" ht="24.75" customHeight="1">
      <c r="A1" s="1">
        <v>6</v>
      </c>
      <c r="B1" s="1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38">
        <v>663</v>
      </c>
      <c r="T1" s="3"/>
      <c r="U1" s="3"/>
      <c r="V1" s="3"/>
    </row>
    <row r="2" spans="1:22" s="5" customFormat="1" ht="14.25" customHeight="1">
      <c r="A2" s="4"/>
      <c r="B2" s="147"/>
      <c r="C2" s="147"/>
      <c r="D2" s="147"/>
      <c r="E2" s="14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"/>
      <c r="S2" s="148" t="s">
        <v>0</v>
      </c>
      <c r="T2" s="4"/>
      <c r="U2" s="4"/>
      <c r="V2" s="4"/>
    </row>
    <row r="3" spans="1:22" s="5" customFormat="1" ht="12" customHeight="1">
      <c r="A3" s="149" t="s">
        <v>225</v>
      </c>
      <c r="B3" s="150"/>
      <c r="C3" s="150"/>
      <c r="D3" s="150"/>
      <c r="E3" s="150"/>
      <c r="F3" s="149" t="s">
        <v>1</v>
      </c>
      <c r="G3" s="151"/>
      <c r="H3" s="151"/>
      <c r="I3" s="151"/>
      <c r="J3" s="151"/>
      <c r="K3" s="151"/>
      <c r="L3" s="151"/>
      <c r="M3" s="151"/>
      <c r="N3" s="151"/>
      <c r="O3" s="151"/>
      <c r="P3" s="149" t="s">
        <v>2</v>
      </c>
      <c r="Q3" s="4"/>
      <c r="R3" s="4"/>
      <c r="S3" s="152"/>
      <c r="T3" s="4"/>
      <c r="U3" s="4"/>
      <c r="V3" s="4"/>
    </row>
    <row r="4" spans="1:22" s="5" customFormat="1" ht="12" customHeight="1">
      <c r="A4" s="149" t="s">
        <v>3</v>
      </c>
      <c r="B4" s="150"/>
      <c r="C4" s="150"/>
      <c r="D4" s="150"/>
      <c r="E4" s="15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52"/>
      <c r="T4" s="4"/>
      <c r="U4" s="4"/>
      <c r="V4" s="4"/>
    </row>
    <row r="5" spans="1:22" s="5" customFormat="1" ht="12" customHeight="1">
      <c r="A5" s="149" t="s">
        <v>201</v>
      </c>
      <c r="B5" s="150"/>
      <c r="C5" s="150"/>
      <c r="D5" s="150"/>
      <c r="E5" s="150"/>
      <c r="F5" s="153"/>
      <c r="G5" s="4"/>
      <c r="H5" s="4"/>
      <c r="I5" s="4"/>
      <c r="J5" s="4"/>
      <c r="K5" s="4"/>
      <c r="L5" s="4"/>
      <c r="M5" s="4"/>
      <c r="N5" s="4"/>
      <c r="O5" s="151"/>
      <c r="P5" s="154"/>
      <c r="Q5" s="4"/>
      <c r="R5" s="4"/>
      <c r="S5" s="155" t="s">
        <v>4</v>
      </c>
      <c r="T5" s="4"/>
      <c r="U5" s="4"/>
      <c r="V5" s="4"/>
    </row>
    <row r="6" spans="1:22" s="5" customFormat="1" ht="12" customHeight="1">
      <c r="A6" s="149" t="s">
        <v>202</v>
      </c>
      <c r="B6" s="150"/>
      <c r="C6" s="150"/>
      <c r="D6" s="150"/>
      <c r="E6" s="150"/>
      <c r="F6" s="153"/>
      <c r="G6" s="4"/>
      <c r="H6" s="4"/>
      <c r="I6" s="4"/>
      <c r="J6" s="4"/>
      <c r="K6" s="4"/>
      <c r="L6" s="4"/>
      <c r="M6" s="4"/>
      <c r="N6" s="4"/>
      <c r="O6" s="151"/>
      <c r="P6" s="154"/>
      <c r="Q6" s="4"/>
      <c r="R6" s="4"/>
      <c r="S6" s="155"/>
      <c r="T6" s="4"/>
      <c r="U6" s="4"/>
      <c r="V6" s="4"/>
    </row>
    <row r="7" spans="1:22" s="5" customFormat="1" ht="12" customHeight="1">
      <c r="A7" s="156" t="s">
        <v>226</v>
      </c>
      <c r="B7" s="150"/>
      <c r="C7" s="150"/>
      <c r="D7" s="150"/>
      <c r="E7" s="150"/>
      <c r="F7" s="153"/>
      <c r="G7" s="4"/>
      <c r="H7" s="4"/>
      <c r="I7" s="4"/>
      <c r="J7" s="4"/>
      <c r="K7" s="4"/>
      <c r="L7" s="4"/>
      <c r="M7" s="4"/>
      <c r="N7" s="4"/>
      <c r="O7" s="4"/>
      <c r="P7" s="154"/>
      <c r="Q7" s="4"/>
      <c r="R7" s="4"/>
      <c r="S7" s="152"/>
      <c r="T7" s="4"/>
      <c r="U7" s="4"/>
      <c r="V7" s="4"/>
    </row>
    <row r="8" spans="1:22" s="5" customFormat="1" ht="12" customHeight="1">
      <c r="A8" s="149" t="s">
        <v>198</v>
      </c>
      <c r="B8" s="150"/>
      <c r="C8" s="150"/>
      <c r="D8" s="150"/>
      <c r="E8" s="150"/>
      <c r="F8" s="153"/>
      <c r="G8" s="151"/>
      <c r="H8" s="151"/>
      <c r="I8" s="151"/>
      <c r="J8" s="151"/>
      <c r="K8" s="151"/>
      <c r="L8" s="151"/>
      <c r="M8" s="151"/>
      <c r="N8" s="151"/>
      <c r="O8" s="151"/>
      <c r="P8" s="154"/>
      <c r="Q8" s="4"/>
      <c r="R8" s="4"/>
      <c r="S8" s="152"/>
      <c r="T8" s="4"/>
      <c r="U8" s="4"/>
      <c r="V8" s="4"/>
    </row>
    <row r="9" spans="1:22" s="5" customFormat="1" ht="20.25" customHeight="1">
      <c r="A9" s="157" t="s">
        <v>178</v>
      </c>
      <c r="B9" s="158"/>
      <c r="C9" s="158" t="str">
        <f>'DANH MUC NPL'!K9</f>
        <v>IC7P-108</v>
      </c>
      <c r="D9" s="158"/>
      <c r="E9" s="158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1" t="s">
        <v>6</v>
      </c>
      <c r="Q9" s="162">
        <f>'DANH MUC NPL'!K10</f>
        <v>1408</v>
      </c>
      <c r="R9" s="142" t="s">
        <v>7</v>
      </c>
      <c r="S9" s="157"/>
      <c r="T9" s="4"/>
      <c r="U9" s="4"/>
      <c r="V9" s="4"/>
    </row>
    <row r="10" spans="1:22" s="5" customFormat="1" ht="15" customHeight="1">
      <c r="A10" s="353" t="s">
        <v>8</v>
      </c>
      <c r="B10" s="408" t="s">
        <v>9</v>
      </c>
      <c r="C10" s="409"/>
      <c r="D10" s="409"/>
      <c r="E10" s="410"/>
      <c r="F10" s="407" t="s">
        <v>10</v>
      </c>
      <c r="G10" s="393" t="s">
        <v>11</v>
      </c>
      <c r="H10" s="402" t="s">
        <v>194</v>
      </c>
      <c r="I10" s="403"/>
      <c r="J10" s="403"/>
      <c r="K10" s="403"/>
      <c r="L10" s="403"/>
      <c r="M10" s="403"/>
      <c r="N10" s="404"/>
      <c r="O10" s="405" t="s">
        <v>12</v>
      </c>
      <c r="P10" s="406"/>
      <c r="Q10" s="406"/>
      <c r="R10" s="397" t="s">
        <v>13</v>
      </c>
      <c r="S10" s="397" t="s">
        <v>14</v>
      </c>
      <c r="T10" s="4"/>
      <c r="U10" s="4"/>
      <c r="V10" s="4"/>
    </row>
    <row r="11" spans="1:22" s="5" customFormat="1" ht="15" customHeight="1">
      <c r="A11" s="354"/>
      <c r="B11" s="411"/>
      <c r="C11" s="412"/>
      <c r="D11" s="412"/>
      <c r="E11" s="413"/>
      <c r="F11" s="394"/>
      <c r="G11" s="394"/>
      <c r="H11" s="294">
        <v>14</v>
      </c>
      <c r="I11" s="294">
        <v>16</v>
      </c>
      <c r="J11" s="294">
        <v>18</v>
      </c>
      <c r="K11" s="295">
        <v>20</v>
      </c>
      <c r="L11" s="294">
        <v>22</v>
      </c>
      <c r="M11" s="294">
        <v>24</v>
      </c>
      <c r="N11" s="294"/>
      <c r="O11" s="398" t="s">
        <v>214</v>
      </c>
      <c r="P11" s="400" t="s">
        <v>200</v>
      </c>
      <c r="Q11" s="395" t="s">
        <v>195</v>
      </c>
      <c r="R11" s="397"/>
      <c r="S11" s="397"/>
      <c r="T11" s="4"/>
      <c r="U11" s="4"/>
      <c r="V11" s="4"/>
    </row>
    <row r="12" spans="1:22" s="5" customFormat="1" ht="15" customHeight="1">
      <c r="A12" s="355"/>
      <c r="B12" s="414"/>
      <c r="C12" s="415"/>
      <c r="D12" s="415"/>
      <c r="E12" s="416"/>
      <c r="F12" s="394"/>
      <c r="G12" s="394"/>
      <c r="H12" s="296">
        <v>176</v>
      </c>
      <c r="I12" s="296">
        <v>176</v>
      </c>
      <c r="J12" s="296">
        <v>352</v>
      </c>
      <c r="K12" s="297">
        <v>352</v>
      </c>
      <c r="L12" s="296">
        <v>176</v>
      </c>
      <c r="M12" s="296">
        <v>176</v>
      </c>
      <c r="N12" s="296"/>
      <c r="O12" s="399"/>
      <c r="P12" s="401"/>
      <c r="Q12" s="396"/>
      <c r="R12" s="397"/>
      <c r="S12" s="397"/>
      <c r="T12" s="4"/>
      <c r="U12" s="313">
        <f>SUM(H12:N12)</f>
        <v>1408</v>
      </c>
      <c r="V12" s="4"/>
    </row>
    <row r="13" spans="1:22" s="5" customFormat="1" ht="12" customHeight="1">
      <c r="A13" s="163">
        <v>1</v>
      </c>
      <c r="B13" s="49" t="s">
        <v>22</v>
      </c>
      <c r="C13" s="267"/>
      <c r="D13" s="267"/>
      <c r="E13" s="188"/>
      <c r="F13" s="272" t="s">
        <v>23</v>
      </c>
      <c r="G13" s="281" t="s">
        <v>243</v>
      </c>
      <c r="H13" s="277">
        <f>K13*0.97</f>
        <v>1.9012</v>
      </c>
      <c r="I13" s="277">
        <f>K13*0.98</f>
        <v>1.9207999999999998</v>
      </c>
      <c r="J13" s="277">
        <f>K13*0.99</f>
        <v>1.9404</v>
      </c>
      <c r="K13" s="277">
        <v>1.96</v>
      </c>
      <c r="L13" s="277">
        <f>K13*1.01</f>
        <v>1.9796</v>
      </c>
      <c r="M13" s="277">
        <f>K13*1.02</f>
        <v>1.9992</v>
      </c>
      <c r="N13" s="277"/>
      <c r="O13" s="282">
        <f>'DANH MUC NPL'!K14</f>
        <v>1.95</v>
      </c>
      <c r="P13" s="283">
        <v>0.03</v>
      </c>
      <c r="Q13" s="284">
        <f aca="true" t="shared" si="0" ref="Q13:Q21">O13*1.03*$Q$9</f>
        <v>2827.9680000000003</v>
      </c>
      <c r="R13" s="285" t="s">
        <v>19</v>
      </c>
      <c r="S13" s="286"/>
      <c r="T13" s="4"/>
      <c r="U13" s="216">
        <f aca="true" t="shared" si="1" ref="U13:U22">(H13*$H$12+I13*$I$12+J13*$J$12+K13*$K$12+L13*$L$12+M13*$M$12+N13*$N$12)/$Q$9</f>
        <v>1.9501999999999997</v>
      </c>
      <c r="V13" s="4"/>
    </row>
    <row r="14" spans="1:22" s="5" customFormat="1" ht="12" customHeight="1">
      <c r="A14" s="163">
        <v>2</v>
      </c>
      <c r="B14" s="49" t="s">
        <v>48</v>
      </c>
      <c r="C14" s="268"/>
      <c r="D14" s="268"/>
      <c r="E14" s="214"/>
      <c r="F14" s="272" t="s">
        <v>49</v>
      </c>
      <c r="G14" s="281" t="s">
        <v>165</v>
      </c>
      <c r="H14" s="277">
        <f>K14*0.97</f>
        <v>195.164</v>
      </c>
      <c r="I14" s="277">
        <f>K14*0.98</f>
        <v>197.176</v>
      </c>
      <c r="J14" s="277">
        <f>K14*0.99</f>
        <v>199.188</v>
      </c>
      <c r="K14" s="277">
        <v>201.2</v>
      </c>
      <c r="L14" s="277">
        <f>K14*1.01</f>
        <v>203.212</v>
      </c>
      <c r="M14" s="277">
        <f>K14*1.02</f>
        <v>205.224</v>
      </c>
      <c r="N14" s="277"/>
      <c r="O14" s="282">
        <f>'DANH MUC NPL'!K27</f>
        <v>200.194</v>
      </c>
      <c r="P14" s="283">
        <v>0.03</v>
      </c>
      <c r="Q14" s="284">
        <f t="shared" si="0"/>
        <v>290329.34656</v>
      </c>
      <c r="R14" s="287" t="s">
        <v>172</v>
      </c>
      <c r="S14" s="288"/>
      <c r="T14" s="4"/>
      <c r="U14" s="216">
        <f t="shared" si="1"/>
        <v>200.194</v>
      </c>
      <c r="V14" s="4"/>
    </row>
    <row r="15" spans="1:22" s="5" customFormat="1" ht="12" customHeight="1">
      <c r="A15" s="163">
        <v>3</v>
      </c>
      <c r="B15" s="49" t="s">
        <v>50</v>
      </c>
      <c r="C15" s="268"/>
      <c r="D15" s="268"/>
      <c r="E15" s="214"/>
      <c r="F15" s="272" t="s">
        <v>51</v>
      </c>
      <c r="G15" s="281" t="s">
        <v>167</v>
      </c>
      <c r="H15" s="279">
        <f aca="true" t="shared" si="2" ref="H15:M15">$O$15</f>
        <v>1</v>
      </c>
      <c r="I15" s="279">
        <f t="shared" si="2"/>
        <v>1</v>
      </c>
      <c r="J15" s="279">
        <f t="shared" si="2"/>
        <v>1</v>
      </c>
      <c r="K15" s="279">
        <f t="shared" si="2"/>
        <v>1</v>
      </c>
      <c r="L15" s="279">
        <f t="shared" si="2"/>
        <v>1</v>
      </c>
      <c r="M15" s="279">
        <f t="shared" si="2"/>
        <v>1</v>
      </c>
      <c r="N15" s="279"/>
      <c r="O15" s="282">
        <f>'DANH MUC NPL'!K28</f>
        <v>1</v>
      </c>
      <c r="P15" s="283">
        <v>0.03</v>
      </c>
      <c r="Q15" s="284">
        <f t="shared" si="0"/>
        <v>1450.24</v>
      </c>
      <c r="R15" s="285" t="s">
        <v>19</v>
      </c>
      <c r="S15" s="288"/>
      <c r="T15" s="4"/>
      <c r="U15" s="216">
        <f t="shared" si="1"/>
        <v>1</v>
      </c>
      <c r="V15" s="4"/>
    </row>
    <row r="16" spans="1:22" s="5" customFormat="1" ht="12" customHeight="1">
      <c r="A16" s="163">
        <v>4</v>
      </c>
      <c r="B16" s="49" t="s">
        <v>248</v>
      </c>
      <c r="C16" s="268"/>
      <c r="D16" s="268"/>
      <c r="E16" s="214"/>
      <c r="F16" s="272" t="s">
        <v>66</v>
      </c>
      <c r="G16" s="281" t="s">
        <v>167</v>
      </c>
      <c r="H16" s="279">
        <v>2</v>
      </c>
      <c r="I16" s="279">
        <v>2</v>
      </c>
      <c r="J16" s="279">
        <v>2</v>
      </c>
      <c r="K16" s="279">
        <v>2</v>
      </c>
      <c r="L16" s="279">
        <v>2</v>
      </c>
      <c r="M16" s="279">
        <v>2</v>
      </c>
      <c r="N16" s="279"/>
      <c r="O16" s="282">
        <f>'DANH MUC NPL'!K35</f>
        <v>2</v>
      </c>
      <c r="P16" s="283">
        <v>0.03</v>
      </c>
      <c r="Q16" s="284">
        <f>O16*1.03*$Q$9</f>
        <v>2900.48</v>
      </c>
      <c r="R16" s="285" t="s">
        <v>19</v>
      </c>
      <c r="S16" s="288"/>
      <c r="T16" s="4"/>
      <c r="U16" s="216">
        <f t="shared" si="1"/>
        <v>2</v>
      </c>
      <c r="V16" s="4"/>
    </row>
    <row r="17" spans="1:22" s="5" customFormat="1" ht="12" customHeight="1">
      <c r="A17" s="163">
        <v>5</v>
      </c>
      <c r="B17" s="49" t="s">
        <v>75</v>
      </c>
      <c r="C17" s="268"/>
      <c r="D17" s="268"/>
      <c r="E17" s="214"/>
      <c r="F17" s="272" t="s">
        <v>76</v>
      </c>
      <c r="G17" s="281" t="s">
        <v>167</v>
      </c>
      <c r="H17" s="279">
        <f aca="true" t="shared" si="3" ref="H17:M17">$O$17</f>
        <v>3</v>
      </c>
      <c r="I17" s="279">
        <f t="shared" si="3"/>
        <v>3</v>
      </c>
      <c r="J17" s="279">
        <f t="shared" si="3"/>
        <v>3</v>
      </c>
      <c r="K17" s="279">
        <f t="shared" si="3"/>
        <v>3</v>
      </c>
      <c r="L17" s="279">
        <f t="shared" si="3"/>
        <v>3</v>
      </c>
      <c r="M17" s="279">
        <f t="shared" si="3"/>
        <v>3</v>
      </c>
      <c r="N17" s="279"/>
      <c r="O17" s="282">
        <f>'DANH MUC NPL'!K40</f>
        <v>3</v>
      </c>
      <c r="P17" s="283">
        <v>0.03</v>
      </c>
      <c r="Q17" s="284">
        <f t="shared" si="0"/>
        <v>4350.719999999999</v>
      </c>
      <c r="R17" s="285" t="s">
        <v>19</v>
      </c>
      <c r="S17" s="288"/>
      <c r="T17" s="4"/>
      <c r="U17" s="216">
        <f t="shared" si="1"/>
        <v>3</v>
      </c>
      <c r="V17" s="4"/>
    </row>
    <row r="18" spans="1:22" s="5" customFormat="1" ht="12" customHeight="1">
      <c r="A18" s="163">
        <v>6</v>
      </c>
      <c r="B18" s="49" t="s">
        <v>242</v>
      </c>
      <c r="C18" s="268"/>
      <c r="D18" s="268"/>
      <c r="E18" s="214"/>
      <c r="F18" s="272" t="s">
        <v>78</v>
      </c>
      <c r="G18" s="281" t="s">
        <v>167</v>
      </c>
      <c r="H18" s="279">
        <f aca="true" t="shared" si="4" ref="H18:M18">$O$18</f>
        <v>1</v>
      </c>
      <c r="I18" s="279">
        <f t="shared" si="4"/>
        <v>1</v>
      </c>
      <c r="J18" s="279">
        <f t="shared" si="4"/>
        <v>1</v>
      </c>
      <c r="K18" s="279">
        <f t="shared" si="4"/>
        <v>1</v>
      </c>
      <c r="L18" s="279">
        <f t="shared" si="4"/>
        <v>1</v>
      </c>
      <c r="M18" s="279">
        <f t="shared" si="4"/>
        <v>1</v>
      </c>
      <c r="N18" s="279"/>
      <c r="O18" s="282">
        <f>'DANH MUC NPL'!K41</f>
        <v>1</v>
      </c>
      <c r="P18" s="283">
        <v>0.03</v>
      </c>
      <c r="Q18" s="284">
        <f t="shared" si="0"/>
        <v>1450.24</v>
      </c>
      <c r="R18" s="285" t="s">
        <v>19</v>
      </c>
      <c r="S18" s="288"/>
      <c r="T18" s="4"/>
      <c r="U18" s="216">
        <f t="shared" si="1"/>
        <v>1</v>
      </c>
      <c r="V18" s="4"/>
    </row>
    <row r="19" spans="1:22" s="5" customFormat="1" ht="12" customHeight="1">
      <c r="A19" s="163">
        <v>7</v>
      </c>
      <c r="B19" s="49" t="s">
        <v>87</v>
      </c>
      <c r="C19" s="268"/>
      <c r="D19" s="268"/>
      <c r="E19" s="214"/>
      <c r="F19" s="272" t="s">
        <v>88</v>
      </c>
      <c r="G19" s="281" t="s">
        <v>167</v>
      </c>
      <c r="H19" s="279">
        <f aca="true" t="shared" si="5" ref="H19:M19">$O$19</f>
        <v>1</v>
      </c>
      <c r="I19" s="279">
        <f t="shared" si="5"/>
        <v>1</v>
      </c>
      <c r="J19" s="279">
        <f t="shared" si="5"/>
        <v>1</v>
      </c>
      <c r="K19" s="279">
        <f t="shared" si="5"/>
        <v>1</v>
      </c>
      <c r="L19" s="279">
        <f t="shared" si="5"/>
        <v>1</v>
      </c>
      <c r="M19" s="279">
        <f t="shared" si="5"/>
        <v>1</v>
      </c>
      <c r="N19" s="279"/>
      <c r="O19" s="282">
        <f>'DANH MUC NPL'!K46</f>
        <v>1</v>
      </c>
      <c r="P19" s="283">
        <v>0.03</v>
      </c>
      <c r="Q19" s="284">
        <f t="shared" si="0"/>
        <v>1450.24</v>
      </c>
      <c r="R19" s="287" t="s">
        <v>172</v>
      </c>
      <c r="S19" s="288"/>
      <c r="T19" s="4"/>
      <c r="U19" s="216">
        <f t="shared" si="1"/>
        <v>1</v>
      </c>
      <c r="V19" s="4"/>
    </row>
    <row r="20" spans="1:22" s="5" customFormat="1" ht="12" customHeight="1">
      <c r="A20" s="163">
        <v>8</v>
      </c>
      <c r="B20" s="49" t="s">
        <v>89</v>
      </c>
      <c r="C20" s="268"/>
      <c r="D20" s="268"/>
      <c r="E20" s="214"/>
      <c r="F20" s="272" t="s">
        <v>90</v>
      </c>
      <c r="G20" s="281" t="s">
        <v>167</v>
      </c>
      <c r="H20" s="279">
        <f aca="true" t="shared" si="6" ref="H20:M20">$O$20</f>
        <v>1</v>
      </c>
      <c r="I20" s="279">
        <f t="shared" si="6"/>
        <v>1</v>
      </c>
      <c r="J20" s="279">
        <f t="shared" si="6"/>
        <v>1</v>
      </c>
      <c r="K20" s="279">
        <f t="shared" si="6"/>
        <v>1</v>
      </c>
      <c r="L20" s="279">
        <f t="shared" si="6"/>
        <v>1</v>
      </c>
      <c r="M20" s="279">
        <f t="shared" si="6"/>
        <v>1</v>
      </c>
      <c r="N20" s="279"/>
      <c r="O20" s="282">
        <f>'DANH MUC NPL'!K47</f>
        <v>1</v>
      </c>
      <c r="P20" s="283">
        <v>0.03</v>
      </c>
      <c r="Q20" s="284">
        <f t="shared" si="0"/>
        <v>1450.24</v>
      </c>
      <c r="R20" s="287" t="s">
        <v>172</v>
      </c>
      <c r="S20" s="288"/>
      <c r="T20" s="4"/>
      <c r="U20" s="216">
        <f t="shared" si="1"/>
        <v>1</v>
      </c>
      <c r="V20" s="4"/>
    </row>
    <row r="21" spans="1:22" s="5" customFormat="1" ht="12" customHeight="1">
      <c r="A21" s="163">
        <v>9</v>
      </c>
      <c r="B21" s="49" t="s">
        <v>99</v>
      </c>
      <c r="C21" s="268"/>
      <c r="D21" s="268"/>
      <c r="E21" s="214"/>
      <c r="F21" s="272" t="s">
        <v>100</v>
      </c>
      <c r="G21" s="281" t="s">
        <v>167</v>
      </c>
      <c r="H21" s="280">
        <f aca="true" t="shared" si="7" ref="H21:M21">$O$21</f>
        <v>0.125</v>
      </c>
      <c r="I21" s="280">
        <f t="shared" si="7"/>
        <v>0.125</v>
      </c>
      <c r="J21" s="280">
        <f t="shared" si="7"/>
        <v>0.125</v>
      </c>
      <c r="K21" s="280">
        <f t="shared" si="7"/>
        <v>0.125</v>
      </c>
      <c r="L21" s="280">
        <f t="shared" si="7"/>
        <v>0.125</v>
      </c>
      <c r="M21" s="280">
        <f t="shared" si="7"/>
        <v>0.125</v>
      </c>
      <c r="N21" s="279"/>
      <c r="O21" s="282">
        <f>'DANH MUC NPL'!K52</f>
        <v>0.125</v>
      </c>
      <c r="P21" s="283">
        <v>0.03</v>
      </c>
      <c r="Q21" s="284">
        <f t="shared" si="0"/>
        <v>181.28</v>
      </c>
      <c r="R21" s="287" t="s">
        <v>172</v>
      </c>
      <c r="S21" s="288"/>
      <c r="T21" s="4"/>
      <c r="U21" s="216">
        <f t="shared" si="1"/>
        <v>0.125</v>
      </c>
      <c r="V21" s="4"/>
    </row>
    <row r="22" spans="1:22" s="5" customFormat="1" ht="12" customHeight="1">
      <c r="A22" s="163">
        <v>10</v>
      </c>
      <c r="B22" s="49" t="s">
        <v>103</v>
      </c>
      <c r="C22" s="268"/>
      <c r="D22" s="268"/>
      <c r="E22" s="214"/>
      <c r="F22" s="272" t="s">
        <v>104</v>
      </c>
      <c r="G22" s="281" t="s">
        <v>167</v>
      </c>
      <c r="H22" s="279">
        <v>4</v>
      </c>
      <c r="I22" s="279">
        <v>4</v>
      </c>
      <c r="J22" s="279">
        <v>4</v>
      </c>
      <c r="K22" s="279">
        <v>4</v>
      </c>
      <c r="L22" s="279">
        <v>4</v>
      </c>
      <c r="M22" s="279">
        <v>4</v>
      </c>
      <c r="N22" s="279"/>
      <c r="O22" s="282">
        <f>'DANH MUC NPL'!K54</f>
        <v>4</v>
      </c>
      <c r="P22" s="283">
        <v>0.03</v>
      </c>
      <c r="Q22" s="284">
        <f>O22*1.03*$Q$9</f>
        <v>5800.96</v>
      </c>
      <c r="R22" s="285" t="s">
        <v>19</v>
      </c>
      <c r="S22" s="288"/>
      <c r="T22" s="4"/>
      <c r="U22" s="216">
        <f t="shared" si="1"/>
        <v>4</v>
      </c>
      <c r="V22" s="4"/>
    </row>
    <row r="23" spans="1:19" ht="17.25" customHeight="1">
      <c r="A23" s="37"/>
      <c r="B23" s="37"/>
      <c r="C23" s="37"/>
      <c r="D23" s="37"/>
      <c r="E23" s="37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</row>
    <row r="24" spans="2:19" ht="12" customHeight="1">
      <c r="B24" s="194" t="s">
        <v>206</v>
      </c>
      <c r="C24" s="290">
        <f>$H$11</f>
        <v>14</v>
      </c>
      <c r="D24" s="290">
        <f>$I$11</f>
        <v>16</v>
      </c>
      <c r="E24" s="290">
        <f>$J$11</f>
        <v>18</v>
      </c>
      <c r="F24" s="290">
        <f>$K$11</f>
        <v>20</v>
      </c>
      <c r="G24" s="290">
        <f>$L$11</f>
        <v>22</v>
      </c>
      <c r="H24" s="290">
        <f>$M$11</f>
        <v>24</v>
      </c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2:19" ht="12" customHeight="1">
      <c r="B25" s="191" t="s">
        <v>203</v>
      </c>
      <c r="C25" s="291">
        <f>$H$12</f>
        <v>176</v>
      </c>
      <c r="D25" s="291">
        <f>$I$12</f>
        <v>176</v>
      </c>
      <c r="E25" s="291">
        <f>$J$12</f>
        <v>352</v>
      </c>
      <c r="F25" s="291">
        <f>$K$12</f>
        <v>352</v>
      </c>
      <c r="G25" s="291">
        <f>$L$12</f>
        <v>176</v>
      </c>
      <c r="H25" s="291">
        <f>$M$12</f>
        <v>176</v>
      </c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2:19" ht="12" customHeight="1">
      <c r="B26" s="191" t="s">
        <v>204</v>
      </c>
      <c r="C26" s="292">
        <v>108</v>
      </c>
      <c r="D26" s="292">
        <v>110</v>
      </c>
      <c r="E26" s="292">
        <v>112</v>
      </c>
      <c r="F26" s="293">
        <v>114</v>
      </c>
      <c r="G26" s="293">
        <v>115</v>
      </c>
      <c r="H26" s="293">
        <v>116</v>
      </c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2:19" ht="12" customHeight="1">
      <c r="B27" s="191" t="s">
        <v>205</v>
      </c>
      <c r="C27" s="292">
        <v>53</v>
      </c>
      <c r="D27" s="292">
        <v>54</v>
      </c>
      <c r="E27" s="292">
        <v>55</v>
      </c>
      <c r="F27" s="293">
        <v>56</v>
      </c>
      <c r="G27" s="293">
        <v>57</v>
      </c>
      <c r="H27" s="293">
        <v>58</v>
      </c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22" ht="16.5" customHeight="1">
      <c r="A28" s="149" t="s">
        <v>112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66"/>
      <c r="P28" s="167"/>
      <c r="Q28" s="149"/>
      <c r="R28" s="149"/>
      <c r="S28" s="149"/>
      <c r="T28" s="149"/>
      <c r="U28" s="149"/>
      <c r="V28" s="149"/>
    </row>
    <row r="29" spans="1:19" ht="23.25" customHeight="1">
      <c r="A29" s="149"/>
      <c r="B29" s="168" t="s">
        <v>113</v>
      </c>
      <c r="C29" s="169"/>
      <c r="D29" s="169"/>
      <c r="E29" s="169"/>
      <c r="F29" s="149"/>
      <c r="G29" s="149"/>
      <c r="H29" s="149"/>
      <c r="I29" s="149"/>
      <c r="J29" s="149"/>
      <c r="K29" s="149"/>
      <c r="L29" s="149"/>
      <c r="M29" s="149"/>
      <c r="N29" s="149"/>
      <c r="O29" s="170"/>
      <c r="P29" s="167"/>
      <c r="Q29" s="169" t="s">
        <v>113</v>
      </c>
      <c r="R29" s="169"/>
      <c r="S29" s="169"/>
    </row>
    <row r="30" spans="1:19" ht="14.25">
      <c r="A30" s="149"/>
      <c r="B30" s="168" t="s">
        <v>114</v>
      </c>
      <c r="C30" s="169"/>
      <c r="D30" s="169"/>
      <c r="E30" s="169"/>
      <c r="F30" s="149"/>
      <c r="G30" s="149"/>
      <c r="H30" s="149"/>
      <c r="I30" s="149"/>
      <c r="J30" s="149"/>
      <c r="K30" s="149"/>
      <c r="L30" s="149"/>
      <c r="M30" s="149"/>
      <c r="N30" s="149"/>
      <c r="O30" s="166"/>
      <c r="P30" s="167"/>
      <c r="Q30" s="169" t="s">
        <v>115</v>
      </c>
      <c r="R30" s="169"/>
      <c r="S30" s="169"/>
    </row>
    <row r="31" spans="1:19" ht="14.25">
      <c r="A31" s="149"/>
      <c r="B31" s="149" t="s">
        <v>116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66"/>
      <c r="P31" s="167"/>
      <c r="Q31" s="169" t="s">
        <v>117</v>
      </c>
      <c r="R31" s="169"/>
      <c r="S31" s="169"/>
    </row>
    <row r="32" spans="1:22" ht="14.25">
      <c r="A32" s="149"/>
      <c r="B32" s="169"/>
      <c r="C32" s="169"/>
      <c r="D32" s="169"/>
      <c r="E32" s="169"/>
      <c r="F32" s="149"/>
      <c r="G32" s="149"/>
      <c r="H32" s="149"/>
      <c r="I32" s="149"/>
      <c r="J32" s="149"/>
      <c r="K32" s="149"/>
      <c r="L32" s="149"/>
      <c r="M32" s="149"/>
      <c r="N32" s="149"/>
      <c r="O32" s="166"/>
      <c r="P32" s="167"/>
      <c r="Q32" s="149"/>
      <c r="R32" s="149"/>
      <c r="S32" s="149"/>
      <c r="T32" s="149"/>
      <c r="U32" s="149"/>
      <c r="V32" s="169"/>
    </row>
    <row r="33" spans="1:22" ht="14.2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66"/>
      <c r="P33" s="167"/>
      <c r="Q33" s="149"/>
      <c r="R33" s="149"/>
      <c r="S33" s="169"/>
      <c r="T33" s="169"/>
      <c r="U33" s="169"/>
      <c r="V33" s="169"/>
    </row>
    <row r="34" spans="1:22" ht="14.2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66"/>
      <c r="P34" s="169"/>
      <c r="Q34" s="167"/>
      <c r="R34" s="149"/>
      <c r="S34" s="149"/>
      <c r="T34" s="149"/>
      <c r="U34" s="149"/>
      <c r="V34" s="149"/>
    </row>
    <row r="35" spans="1:22" ht="12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66"/>
      <c r="P35" s="167"/>
      <c r="Q35" s="149"/>
      <c r="R35" s="149"/>
      <c r="S35" s="149"/>
      <c r="T35" s="149"/>
      <c r="U35" s="149"/>
      <c r="V35" s="149"/>
    </row>
    <row r="36" spans="1:22" ht="14.2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6"/>
      <c r="P36" s="167"/>
      <c r="Q36" s="149"/>
      <c r="R36" s="149"/>
      <c r="S36" s="342"/>
      <c r="T36" s="342"/>
      <c r="U36" s="342"/>
      <c r="V36" s="342"/>
    </row>
  </sheetData>
  <mergeCells count="12">
    <mergeCell ref="H10:N10"/>
    <mergeCell ref="O10:Q10"/>
    <mergeCell ref="A10:A12"/>
    <mergeCell ref="F10:F12"/>
    <mergeCell ref="B10:E12"/>
    <mergeCell ref="S36:V36"/>
    <mergeCell ref="G10:G12"/>
    <mergeCell ref="Q11:Q12"/>
    <mergeCell ref="R10:R12"/>
    <mergeCell ref="S10:S12"/>
    <mergeCell ref="O11:O12"/>
    <mergeCell ref="P11:P12"/>
  </mergeCells>
  <printOptions horizontalCentered="1"/>
  <pageMargins left="0.23" right="0" top="0.19" bottom="0.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SanYou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HuuTam</dc:creator>
  <cp:keywords/>
  <dc:description/>
  <cp:lastModifiedBy>HuuTam</cp:lastModifiedBy>
  <cp:lastPrinted>2008-06-19T12:52:25Z</cp:lastPrinted>
  <dcterms:created xsi:type="dcterms:W3CDTF">2008-04-28T04:40:10Z</dcterms:created>
  <dcterms:modified xsi:type="dcterms:W3CDTF">2008-06-19T12:55:20Z</dcterms:modified>
  <cp:category/>
  <cp:version/>
  <cp:contentType/>
  <cp:contentStatus/>
</cp:coreProperties>
</file>